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3365" tabRatio="870" activeTab="0"/>
  </bookViews>
  <sheets>
    <sheet name="回線設計-衛星" sheetId="1" r:id="rId1"/>
    <sheet name="回線設計-地デジ" sheetId="2" r:id="rId2"/>
  </sheets>
  <definedNames>
    <definedName name="BW">'回線設計-衛星'!$P$6</definedName>
    <definedName name="F" localSheetId="1">'回線設計-地デジ'!$Q$6</definedName>
    <definedName name="F">'回線設計-衛星'!$P$4</definedName>
    <definedName name="FREQ">'回線設計-衛星'!$P$4</definedName>
    <definedName name="_xlnm.Print_Area" localSheetId="0">'回線設計-衛星'!$A$1:$R$41</definedName>
    <definedName name="TEMPC">'回線設計-衛星'!$P$5</definedName>
  </definedNames>
  <calcPr fullCalcOnLoad="1"/>
</workbook>
</file>

<file path=xl/sharedStrings.xml><?xml version="1.0" encoding="utf-8"?>
<sst xmlns="http://schemas.openxmlformats.org/spreadsheetml/2006/main" count="167" uniqueCount="80">
  <si>
    <t>dB</t>
  </si>
  <si>
    <t>cm</t>
  </si>
  <si>
    <t>周波数</t>
  </si>
  <si>
    <t>分配</t>
  </si>
  <si>
    <t>dB</t>
  </si>
  <si>
    <t>分配損失</t>
  </si>
  <si>
    <t>m</t>
  </si>
  <si>
    <t>dBm</t>
  </si>
  <si>
    <t>W</t>
  </si>
  <si>
    <t>dBm</t>
  </si>
  <si>
    <t>℃</t>
  </si>
  <si>
    <t>dBi</t>
  </si>
  <si>
    <t>自由空間損失</t>
  </si>
  <si>
    <t>km</t>
  </si>
  <si>
    <t>受信ANT利得</t>
  </si>
  <si>
    <t>dBuV</t>
  </si>
  <si>
    <t>ケーブル損失</t>
  </si>
  <si>
    <t>チューナNF</t>
  </si>
  <si>
    <t>チューナ入力</t>
  </si>
  <si>
    <t>GHz</t>
  </si>
  <si>
    <t>地上温度</t>
  </si>
  <si>
    <t>降雨マージン</t>
  </si>
  <si>
    <t>アンテナ入力レベル</t>
  </si>
  <si>
    <t>放送出力レベル(EIRP)</t>
  </si>
  <si>
    <t>大気減衰</t>
  </si>
  <si>
    <t>ANT口径</t>
  </si>
  <si>
    <t>開口効率</t>
  </si>
  <si>
    <t>LNB入力</t>
  </si>
  <si>
    <t>LNB NF</t>
  </si>
  <si>
    <t>帯域幅</t>
  </si>
  <si>
    <t>MHｚ</t>
  </si>
  <si>
    <t>ANT 雑音</t>
  </si>
  <si>
    <t>K</t>
  </si>
  <si>
    <t>LNB出力</t>
  </si>
  <si>
    <t>LNB 利得</t>
  </si>
  <si>
    <t>雑音電力(入力換算)</t>
  </si>
  <si>
    <t>ブースタ利得</t>
  </si>
  <si>
    <t>ブースタ入力</t>
  </si>
  <si>
    <t>ブースタNF</t>
  </si>
  <si>
    <t>←10dB以上で受信可能</t>
  </si>
  <si>
    <t>受信総NF</t>
  </si>
  <si>
    <t>受信CNR</t>
  </si>
  <si>
    <t>LNB出力CNR</t>
  </si>
  <si>
    <t>ブースタ出力CNR</t>
  </si>
  <si>
    <t>放送波CNR</t>
  </si>
  <si>
    <t>チューナ受信CNR</t>
  </si>
  <si>
    <t>ON</t>
  </si>
  <si>
    <t>ON</t>
  </si>
  <si>
    <t>OFF</t>
  </si>
  <si>
    <t>LNB</t>
  </si>
  <si>
    <t>ブースタ</t>
  </si>
  <si>
    <t>dB</t>
  </si>
  <si>
    <t>宅内損失</t>
  </si>
  <si>
    <t>LNB</t>
  </si>
  <si>
    <t>ON</t>
  </si>
  <si>
    <t>OFF</t>
  </si>
  <si>
    <t>Total NF</t>
  </si>
  <si>
    <t>衛星デジタル放送の受信システム回線設計例 by ボクにもわかる地上デジタル</t>
  </si>
  <si>
    <t>ブースタ出力</t>
  </si>
  <si>
    <t>Booster</t>
  </si>
  <si>
    <t>ボクにもわかる地上デジタルの回線設計</t>
  </si>
  <si>
    <t>放送出力</t>
  </si>
  <si>
    <t>条件</t>
  </si>
  <si>
    <t>給電損失</t>
  </si>
  <si>
    <t>MHz</t>
  </si>
  <si>
    <t>温度</t>
  </si>
  <si>
    <t>放送ＡＮＴ利得</t>
  </si>
  <si>
    <t>dBd</t>
  </si>
  <si>
    <t>ANT放射出力</t>
  </si>
  <si>
    <t xml:space="preserve">dBuV/m </t>
  </si>
  <si>
    <t>マージン</t>
  </si>
  <si>
    <t>ANT入射力</t>
  </si>
  <si>
    <t>受信ANT出力</t>
  </si>
  <si>
    <t>熱雑音電力</t>
  </si>
  <si>
    <t>TVコンセント出力</t>
  </si>
  <si>
    <t>受信器雑音</t>
  </si>
  <si>
    <t>干渉雑音</t>
  </si>
  <si>
    <t>雑音電力</t>
  </si>
  <si>
    <t>CNR</t>
  </si>
  <si>
    <t>←ここが22dB以上で受信可能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</si>
</sst>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\ \K"/>
    <numFmt numFmtId="178" formatCode="0.0_ "/>
    <numFmt numFmtId="179" formatCode="0.0_);[Red]\(0.0\)"/>
    <numFmt numFmtId="180" formatCode="0.0_ ;[Red]\-0.0\ "/>
    <numFmt numFmtId="181" formatCode="0_);[Red]\(0\)"/>
    <numFmt numFmtId="182" formatCode="0.00_);[Red]\(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sz val="8"/>
      <name val="ＭＳ Ｐゴシック"/>
      <family val="3"/>
    </font>
    <font>
      <b/>
      <u val="single"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Ｐゴシック"/>
      <family val="3"/>
    </font>
    <font>
      <sz val="8"/>
      <color indexed="10"/>
      <name val="ＭＳ Ｐゴシック"/>
      <family val="3"/>
    </font>
    <font>
      <sz val="8"/>
      <color indexed="8"/>
      <name val="ＭＳ Ｐゴシック"/>
      <family val="3"/>
    </font>
    <font>
      <sz val="5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Ｐゴシック"/>
      <family val="3"/>
    </font>
    <font>
      <sz val="8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medium"/>
    </border>
    <border>
      <left/>
      <right/>
      <top style="thin">
        <color indexed="8"/>
      </top>
      <bottom style="thin"/>
    </border>
    <border>
      <left/>
      <right/>
      <top/>
      <bottom style="medium"/>
    </border>
    <border>
      <left style="medium"/>
      <right/>
      <top/>
      <bottom>
        <color indexed="63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/>
    </border>
    <border>
      <left style="medium"/>
      <right>
        <color indexed="63"/>
      </right>
      <top style="medium"/>
      <bottom style="medium"/>
    </border>
    <border>
      <left/>
      <right style="medium"/>
      <top/>
      <bottom style="medium">
        <color indexed="8"/>
      </bottom>
    </border>
    <border>
      <left style="thin"/>
      <right/>
      <top style="medium"/>
      <bottom/>
    </border>
    <border>
      <left style="medium"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/>
      <top/>
      <bottom/>
    </border>
    <border>
      <left/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176" fontId="6" fillId="0" borderId="0" xfId="63" applyNumberFormat="1" applyFont="1" applyBorder="1" applyProtection="1">
      <alignment/>
      <protection hidden="1"/>
    </xf>
    <xf numFmtId="176" fontId="6" fillId="0" borderId="10" xfId="63" applyNumberFormat="1" applyFont="1" applyBorder="1" applyProtection="1">
      <alignment/>
      <protection hidden="1"/>
    </xf>
    <xf numFmtId="176" fontId="6" fillId="0" borderId="0" xfId="63" applyNumberFormat="1" applyFont="1" applyBorder="1" applyAlignment="1" applyProtection="1">
      <alignment horizontal="center"/>
      <protection hidden="1"/>
    </xf>
    <xf numFmtId="176" fontId="6" fillId="0" borderId="11" xfId="63" applyNumberFormat="1" applyFont="1" applyBorder="1" applyProtection="1">
      <alignment/>
      <protection hidden="1"/>
    </xf>
    <xf numFmtId="176" fontId="6" fillId="0" borderId="12" xfId="63" applyNumberFormat="1" applyFont="1" applyBorder="1" applyProtection="1">
      <alignment/>
      <protection hidden="1"/>
    </xf>
    <xf numFmtId="176" fontId="6" fillId="0" borderId="13" xfId="63" applyNumberFormat="1" applyFont="1" applyBorder="1" applyProtection="1">
      <alignment/>
      <protection hidden="1"/>
    </xf>
    <xf numFmtId="178" fontId="6" fillId="0" borderId="0" xfId="63" applyNumberFormat="1" applyFont="1" applyBorder="1" applyProtection="1">
      <alignment/>
      <protection hidden="1"/>
    </xf>
    <xf numFmtId="176" fontId="6" fillId="0" borderId="14" xfId="63" applyNumberFormat="1" applyFont="1" applyBorder="1" applyProtection="1">
      <alignment/>
      <protection hidden="1"/>
    </xf>
    <xf numFmtId="176" fontId="6" fillId="0" borderId="15" xfId="63" applyNumberFormat="1" applyFont="1" applyBorder="1" applyProtection="1">
      <alignment/>
      <protection hidden="1"/>
    </xf>
    <xf numFmtId="179" fontId="6" fillId="0" borderId="0" xfId="63" applyNumberFormat="1" applyFont="1" applyBorder="1" applyProtection="1">
      <alignment/>
      <protection hidden="1"/>
    </xf>
    <xf numFmtId="176" fontId="6" fillId="0" borderId="16" xfId="63" applyNumberFormat="1" applyFont="1" applyBorder="1" applyProtection="1">
      <alignment/>
      <protection hidden="1"/>
    </xf>
    <xf numFmtId="176" fontId="6" fillId="0" borderId="17" xfId="63" applyNumberFormat="1" applyFont="1" applyBorder="1" applyProtection="1">
      <alignment/>
      <protection hidden="1"/>
    </xf>
    <xf numFmtId="176" fontId="6" fillId="0" borderId="18" xfId="63" applyNumberFormat="1" applyFont="1" applyBorder="1" applyProtection="1">
      <alignment/>
      <protection hidden="1"/>
    </xf>
    <xf numFmtId="176" fontId="6" fillId="0" borderId="19" xfId="63" applyNumberFormat="1" applyFont="1" applyBorder="1" applyProtection="1">
      <alignment/>
      <protection hidden="1"/>
    </xf>
    <xf numFmtId="176" fontId="6" fillId="0" borderId="20" xfId="63" applyNumberFormat="1" applyFont="1" applyBorder="1" applyProtection="1">
      <alignment/>
      <protection hidden="1"/>
    </xf>
    <xf numFmtId="176" fontId="6" fillId="0" borderId="21" xfId="63" applyNumberFormat="1" applyFont="1" applyBorder="1" applyProtection="1">
      <alignment/>
      <protection hidden="1"/>
    </xf>
    <xf numFmtId="176" fontId="6" fillId="0" borderId="22" xfId="63" applyNumberFormat="1" applyFont="1" applyBorder="1" applyProtection="1">
      <alignment/>
      <protection hidden="1"/>
    </xf>
    <xf numFmtId="176" fontId="6" fillId="0" borderId="23" xfId="63" applyNumberFormat="1" applyFont="1" applyBorder="1" applyProtection="1">
      <alignment/>
      <protection hidden="1"/>
    </xf>
    <xf numFmtId="176" fontId="6" fillId="0" borderId="24" xfId="63" applyNumberFormat="1" applyFont="1" applyBorder="1" applyAlignment="1" applyProtection="1">
      <alignment/>
      <protection hidden="1"/>
    </xf>
    <xf numFmtId="176" fontId="6" fillId="0" borderId="25" xfId="63" applyNumberFormat="1" applyFont="1" applyBorder="1" applyAlignment="1" applyProtection="1">
      <alignment horizontal="center"/>
      <protection hidden="1"/>
    </xf>
    <xf numFmtId="176" fontId="6" fillId="0" borderId="26" xfId="63" applyNumberFormat="1" applyFont="1" applyBorder="1" applyProtection="1">
      <alignment/>
      <protection hidden="1"/>
    </xf>
    <xf numFmtId="176" fontId="6" fillId="0" borderId="27" xfId="63" applyNumberFormat="1" applyFont="1" applyBorder="1" applyProtection="1">
      <alignment/>
      <protection hidden="1"/>
    </xf>
    <xf numFmtId="176" fontId="6" fillId="0" borderId="28" xfId="63" applyNumberFormat="1" applyFont="1" applyBorder="1" applyProtection="1">
      <alignment/>
      <protection hidden="1"/>
    </xf>
    <xf numFmtId="176" fontId="6" fillId="0" borderId="29" xfId="63" applyNumberFormat="1" applyFont="1" applyBorder="1" applyProtection="1">
      <alignment/>
      <protection hidden="1"/>
    </xf>
    <xf numFmtId="176" fontId="6" fillId="0" borderId="30" xfId="63" applyNumberFormat="1" applyFont="1" applyBorder="1" applyProtection="1">
      <alignment/>
      <protection hidden="1"/>
    </xf>
    <xf numFmtId="176" fontId="6" fillId="0" borderId="31" xfId="63" applyNumberFormat="1" applyFont="1" applyBorder="1" applyProtection="1">
      <alignment/>
      <protection hidden="1"/>
    </xf>
    <xf numFmtId="176" fontId="6" fillId="0" borderId="32" xfId="63" applyNumberFormat="1" applyFont="1" applyBorder="1" applyProtection="1">
      <alignment/>
      <protection hidden="1"/>
    </xf>
    <xf numFmtId="176" fontId="6" fillId="0" borderId="33" xfId="63" applyNumberFormat="1" applyFont="1" applyBorder="1" applyProtection="1">
      <alignment/>
      <protection hidden="1"/>
    </xf>
    <xf numFmtId="176" fontId="6" fillId="0" borderId="31" xfId="63" applyNumberFormat="1" applyFont="1" applyBorder="1" applyAlignment="1" applyProtection="1">
      <alignment horizontal="center"/>
      <protection hidden="1"/>
    </xf>
    <xf numFmtId="176" fontId="44" fillId="0" borderId="0" xfId="63" applyNumberFormat="1" applyFont="1" applyBorder="1" applyProtection="1">
      <alignment/>
      <protection hidden="1"/>
    </xf>
    <xf numFmtId="176" fontId="6" fillId="0" borderId="34" xfId="63" applyNumberFormat="1" applyFont="1" applyBorder="1" applyProtection="1">
      <alignment/>
      <protection hidden="1"/>
    </xf>
    <xf numFmtId="176" fontId="6" fillId="0" borderId="35" xfId="63" applyNumberFormat="1" applyFont="1" applyBorder="1" applyProtection="1">
      <alignment/>
      <protection hidden="1"/>
    </xf>
    <xf numFmtId="178" fontId="6" fillId="0" borderId="36" xfId="63" applyNumberFormat="1" applyFont="1" applyBorder="1" applyAlignment="1" applyProtection="1">
      <alignment horizontal="right"/>
      <protection hidden="1"/>
    </xf>
    <xf numFmtId="176" fontId="6" fillId="0" borderId="0" xfId="63" applyNumberFormat="1" applyFont="1" applyFill="1" applyBorder="1" applyProtection="1">
      <alignment/>
      <protection hidden="1"/>
    </xf>
    <xf numFmtId="0" fontId="5" fillId="0" borderId="0" xfId="63" applyFont="1" applyProtection="1">
      <alignment/>
      <protection/>
    </xf>
    <xf numFmtId="180" fontId="6" fillId="0" borderId="0" xfId="63" applyNumberFormat="1" applyFont="1" applyBorder="1" applyProtection="1">
      <alignment/>
      <protection hidden="1"/>
    </xf>
    <xf numFmtId="180" fontId="6" fillId="0" borderId="36" xfId="63" applyNumberFormat="1" applyFont="1" applyBorder="1" applyProtection="1">
      <alignment/>
      <protection hidden="1"/>
    </xf>
    <xf numFmtId="176" fontId="6" fillId="0" borderId="37" xfId="63" applyNumberFormat="1" applyFont="1" applyBorder="1" applyProtection="1">
      <alignment/>
      <protection hidden="1"/>
    </xf>
    <xf numFmtId="178" fontId="6" fillId="0" borderId="0" xfId="63" applyNumberFormat="1" applyFont="1" applyFill="1" applyBorder="1" applyProtection="1">
      <alignment/>
      <protection hidden="1"/>
    </xf>
    <xf numFmtId="178" fontId="6" fillId="0" borderId="0" xfId="63" applyNumberFormat="1" applyFont="1" applyBorder="1" applyAlignment="1" applyProtection="1">
      <alignment horizontal="right"/>
      <protection hidden="1"/>
    </xf>
    <xf numFmtId="178" fontId="6" fillId="0" borderId="15" xfId="63" applyNumberFormat="1" applyFont="1" applyBorder="1" applyProtection="1">
      <alignment/>
      <protection hidden="1"/>
    </xf>
    <xf numFmtId="178" fontId="6" fillId="0" borderId="25" xfId="63" applyNumberFormat="1" applyFont="1" applyBorder="1" applyProtection="1">
      <alignment/>
      <protection hidden="1"/>
    </xf>
    <xf numFmtId="176" fontId="6" fillId="2" borderId="38" xfId="63" applyNumberFormat="1" applyFont="1" applyFill="1" applyBorder="1" applyProtection="1">
      <alignment/>
      <protection hidden="1"/>
    </xf>
    <xf numFmtId="178" fontId="6" fillId="2" borderId="38" xfId="63" applyNumberFormat="1" applyFont="1" applyFill="1" applyBorder="1" applyAlignment="1" applyProtection="1">
      <alignment horizontal="right"/>
      <protection hidden="1"/>
    </xf>
    <xf numFmtId="176" fontId="6" fillId="2" borderId="39" xfId="63" applyNumberFormat="1" applyFont="1" applyFill="1" applyBorder="1" applyProtection="1">
      <alignment/>
      <protection hidden="1"/>
    </xf>
    <xf numFmtId="176" fontId="6" fillId="6" borderId="38" xfId="63" applyNumberFormat="1" applyFont="1" applyFill="1" applyBorder="1" applyProtection="1">
      <alignment/>
      <protection hidden="1"/>
    </xf>
    <xf numFmtId="176" fontId="6" fillId="6" borderId="39" xfId="63" applyNumberFormat="1" applyFont="1" applyFill="1" applyBorder="1" applyProtection="1">
      <alignment/>
      <protection hidden="1"/>
    </xf>
    <xf numFmtId="176" fontId="6" fillId="5" borderId="39" xfId="63" applyNumberFormat="1" applyFont="1" applyFill="1" applyBorder="1" applyProtection="1">
      <alignment/>
      <protection hidden="1"/>
    </xf>
    <xf numFmtId="176" fontId="6" fillId="4" borderId="38" xfId="63" applyNumberFormat="1" applyFont="1" applyFill="1" applyBorder="1" applyProtection="1">
      <alignment/>
      <protection hidden="1"/>
    </xf>
    <xf numFmtId="176" fontId="6" fillId="3" borderId="14" xfId="63" applyNumberFormat="1" applyFont="1" applyFill="1" applyBorder="1" applyProtection="1">
      <alignment/>
      <protection hidden="1"/>
    </xf>
    <xf numFmtId="176" fontId="6" fillId="3" borderId="36" xfId="63" applyNumberFormat="1" applyFont="1" applyFill="1" applyBorder="1" applyProtection="1">
      <alignment/>
      <protection hidden="1"/>
    </xf>
    <xf numFmtId="178" fontId="6" fillId="3" borderId="36" xfId="63" applyNumberFormat="1" applyFont="1" applyFill="1" applyBorder="1" applyProtection="1">
      <alignment/>
      <protection hidden="1"/>
    </xf>
    <xf numFmtId="178" fontId="6" fillId="2" borderId="38" xfId="63" applyNumberFormat="1" applyFont="1" applyFill="1" applyBorder="1" applyProtection="1">
      <alignment/>
      <protection hidden="1"/>
    </xf>
    <xf numFmtId="176" fontId="6" fillId="2" borderId="40" xfId="63" applyNumberFormat="1" applyFont="1" applyFill="1" applyBorder="1" applyProtection="1">
      <alignment/>
      <protection hidden="1"/>
    </xf>
    <xf numFmtId="176" fontId="6" fillId="2" borderId="13" xfId="63" applyNumberFormat="1" applyFont="1" applyFill="1" applyBorder="1" applyProtection="1">
      <alignment/>
      <protection hidden="1"/>
    </xf>
    <xf numFmtId="176" fontId="6" fillId="2" borderId="0" xfId="63" applyNumberFormat="1" applyFont="1" applyFill="1" applyBorder="1" applyProtection="1">
      <alignment/>
      <protection hidden="1"/>
    </xf>
    <xf numFmtId="176" fontId="6" fillId="2" borderId="41" xfId="63" applyNumberFormat="1" applyFont="1" applyFill="1" applyBorder="1" applyProtection="1">
      <alignment/>
      <protection hidden="1"/>
    </xf>
    <xf numFmtId="176" fontId="6" fillId="33" borderId="14" xfId="63" applyNumberFormat="1" applyFont="1" applyFill="1" applyBorder="1" applyProtection="1">
      <alignment/>
      <protection hidden="1"/>
    </xf>
    <xf numFmtId="176" fontId="6" fillId="33" borderId="36" xfId="63" applyNumberFormat="1" applyFont="1" applyFill="1" applyBorder="1" applyProtection="1">
      <alignment/>
      <protection hidden="1"/>
    </xf>
    <xf numFmtId="178" fontId="6" fillId="33" borderId="36" xfId="63" applyNumberFormat="1" applyFont="1" applyFill="1" applyBorder="1" applyProtection="1">
      <alignment/>
      <protection hidden="1"/>
    </xf>
    <xf numFmtId="176" fontId="6" fillId="33" borderId="0" xfId="63" applyNumberFormat="1" applyFont="1" applyFill="1" applyBorder="1" applyProtection="1">
      <alignment/>
      <protection hidden="1"/>
    </xf>
    <xf numFmtId="178" fontId="6" fillId="33" borderId="0" xfId="63" applyNumberFormat="1" applyFont="1" applyFill="1" applyBorder="1" applyProtection="1">
      <alignment/>
      <protection hidden="1"/>
    </xf>
    <xf numFmtId="176" fontId="6" fillId="33" borderId="41" xfId="63" applyNumberFormat="1" applyFont="1" applyFill="1" applyBorder="1" applyProtection="1">
      <alignment/>
      <protection hidden="1"/>
    </xf>
    <xf numFmtId="176" fontId="6" fillId="2" borderId="15" xfId="63" applyNumberFormat="1" applyFont="1" applyFill="1" applyBorder="1" applyProtection="1">
      <alignment/>
      <protection hidden="1"/>
    </xf>
    <xf numFmtId="176" fontId="6" fillId="33" borderId="15" xfId="63" applyNumberFormat="1" applyFont="1" applyFill="1" applyBorder="1" applyProtection="1">
      <alignment/>
      <protection hidden="1"/>
    </xf>
    <xf numFmtId="176" fontId="6" fillId="3" borderId="15" xfId="63" applyNumberFormat="1" applyFont="1" applyFill="1" applyBorder="1" applyProtection="1">
      <alignment/>
      <protection hidden="1"/>
    </xf>
    <xf numFmtId="178" fontId="6" fillId="3" borderId="14" xfId="63" applyNumberFormat="1" applyFont="1" applyFill="1" applyBorder="1" applyProtection="1">
      <alignment/>
      <protection hidden="1"/>
    </xf>
    <xf numFmtId="176" fontId="6" fillId="3" borderId="42" xfId="63" applyNumberFormat="1" applyFont="1" applyFill="1" applyBorder="1" applyProtection="1">
      <alignment/>
      <protection hidden="1"/>
    </xf>
    <xf numFmtId="178" fontId="6" fillId="4" borderId="38" xfId="63" applyNumberFormat="1" applyFont="1" applyFill="1" applyBorder="1" applyProtection="1">
      <alignment/>
      <protection hidden="1"/>
    </xf>
    <xf numFmtId="176" fontId="6" fillId="4" borderId="43" xfId="63" applyNumberFormat="1" applyFont="1" applyFill="1" applyBorder="1" applyProtection="1">
      <alignment/>
      <protection hidden="1"/>
    </xf>
    <xf numFmtId="176" fontId="6" fillId="5" borderId="14" xfId="63" applyNumberFormat="1" applyFont="1" applyFill="1" applyBorder="1" applyProtection="1">
      <alignment/>
      <protection hidden="1"/>
    </xf>
    <xf numFmtId="176" fontId="6" fillId="5" borderId="36" xfId="63" applyNumberFormat="1" applyFont="1" applyFill="1" applyBorder="1" applyProtection="1">
      <alignment/>
      <protection hidden="1"/>
    </xf>
    <xf numFmtId="178" fontId="6" fillId="5" borderId="36" xfId="63" applyNumberFormat="1" applyFont="1" applyFill="1" applyBorder="1" applyProtection="1">
      <alignment/>
      <protection hidden="1"/>
    </xf>
    <xf numFmtId="176" fontId="6" fillId="5" borderId="15" xfId="63" applyNumberFormat="1" applyFont="1" applyFill="1" applyBorder="1" applyProtection="1">
      <alignment/>
      <protection hidden="1"/>
    </xf>
    <xf numFmtId="178" fontId="6" fillId="5" borderId="14" xfId="63" applyNumberFormat="1" applyFont="1" applyFill="1" applyBorder="1" applyProtection="1">
      <alignment/>
      <protection hidden="1"/>
    </xf>
    <xf numFmtId="176" fontId="6" fillId="5" borderId="42" xfId="63" applyNumberFormat="1" applyFont="1" applyFill="1" applyBorder="1" applyProtection="1">
      <alignment/>
      <protection hidden="1"/>
    </xf>
    <xf numFmtId="176" fontId="6" fillId="4" borderId="36" xfId="63" applyNumberFormat="1" applyFont="1" applyFill="1" applyBorder="1" applyProtection="1">
      <alignment/>
      <protection hidden="1"/>
    </xf>
    <xf numFmtId="178" fontId="6" fillId="4" borderId="36" xfId="63" applyNumberFormat="1" applyFont="1" applyFill="1" applyBorder="1" applyProtection="1">
      <alignment/>
      <protection hidden="1"/>
    </xf>
    <xf numFmtId="176" fontId="6" fillId="4" borderId="15" xfId="63" applyNumberFormat="1" applyFont="1" applyFill="1" applyBorder="1" applyProtection="1">
      <alignment/>
      <protection hidden="1"/>
    </xf>
    <xf numFmtId="176" fontId="6" fillId="6" borderId="36" xfId="63" applyNumberFormat="1" applyFont="1" applyFill="1" applyBorder="1" applyProtection="1">
      <alignment/>
      <protection hidden="1"/>
    </xf>
    <xf numFmtId="178" fontId="6" fillId="6" borderId="36" xfId="63" applyNumberFormat="1" applyFont="1" applyFill="1" applyBorder="1" applyProtection="1">
      <alignment/>
      <protection hidden="1"/>
    </xf>
    <xf numFmtId="176" fontId="6" fillId="6" borderId="15" xfId="63" applyNumberFormat="1" applyFont="1" applyFill="1" applyBorder="1" applyProtection="1">
      <alignment/>
      <protection hidden="1"/>
    </xf>
    <xf numFmtId="176" fontId="6" fillId="6" borderId="40" xfId="63" applyNumberFormat="1" applyFont="1" applyFill="1" applyBorder="1" applyProtection="1">
      <alignment/>
      <protection hidden="1"/>
    </xf>
    <xf numFmtId="178" fontId="6" fillId="6" borderId="38" xfId="63" applyNumberFormat="1" applyFont="1" applyFill="1" applyBorder="1" applyProtection="1">
      <alignment/>
      <protection hidden="1"/>
    </xf>
    <xf numFmtId="178" fontId="6" fillId="6" borderId="14" xfId="63" applyNumberFormat="1" applyFont="1" applyFill="1" applyBorder="1" applyProtection="1">
      <alignment/>
      <protection hidden="1"/>
    </xf>
    <xf numFmtId="176" fontId="45" fillId="6" borderId="15" xfId="63" applyNumberFormat="1" applyFont="1" applyFill="1" applyBorder="1" applyProtection="1">
      <alignment/>
      <protection hidden="1"/>
    </xf>
    <xf numFmtId="176" fontId="45" fillId="5" borderId="15" xfId="63" applyNumberFormat="1" applyFont="1" applyFill="1" applyBorder="1" applyProtection="1">
      <alignment/>
      <protection hidden="1"/>
    </xf>
    <xf numFmtId="176" fontId="45" fillId="3" borderId="15" xfId="63" applyNumberFormat="1" applyFont="1" applyFill="1" applyBorder="1" applyProtection="1">
      <alignment/>
      <protection hidden="1"/>
    </xf>
    <xf numFmtId="179" fontId="6" fillId="34" borderId="44" xfId="63" applyNumberFormat="1" applyFont="1" applyFill="1" applyBorder="1" applyProtection="1">
      <alignment/>
      <protection hidden="1" locked="0"/>
    </xf>
    <xf numFmtId="179" fontId="6" fillId="34" borderId="22" xfId="63" applyNumberFormat="1" applyFont="1" applyFill="1" applyBorder="1" applyProtection="1">
      <alignment/>
      <protection hidden="1" locked="0"/>
    </xf>
    <xf numFmtId="177" fontId="6" fillId="34" borderId="40" xfId="63" applyNumberFormat="1" applyFont="1" applyFill="1" applyBorder="1" applyAlignment="1" applyProtection="1">
      <alignment horizontal="right"/>
      <protection hidden="1" locked="0"/>
    </xf>
    <xf numFmtId="179" fontId="6" fillId="35" borderId="19" xfId="63" applyNumberFormat="1" applyFont="1" applyFill="1" applyBorder="1" applyProtection="1">
      <alignment/>
      <protection hidden="1" locked="0"/>
    </xf>
    <xf numFmtId="176" fontId="6" fillId="34" borderId="40" xfId="63" applyNumberFormat="1" applyFont="1" applyFill="1" applyBorder="1" applyProtection="1">
      <alignment/>
      <protection hidden="1" locked="0"/>
    </xf>
    <xf numFmtId="179" fontId="6" fillId="35" borderId="22" xfId="63" applyNumberFormat="1" applyFont="1" applyFill="1" applyBorder="1" applyProtection="1">
      <alignment/>
      <protection hidden="1" locked="0"/>
    </xf>
    <xf numFmtId="178" fontId="6" fillId="35" borderId="14" xfId="63" applyNumberFormat="1" applyFont="1" applyFill="1" applyBorder="1" applyProtection="1">
      <alignment/>
      <protection hidden="1" locked="0"/>
    </xf>
    <xf numFmtId="178" fontId="6" fillId="36" borderId="38" xfId="63" applyNumberFormat="1" applyFont="1" applyFill="1" applyBorder="1" applyProtection="1">
      <alignment/>
      <protection hidden="1" locked="0"/>
    </xf>
    <xf numFmtId="178" fontId="6" fillId="36" borderId="14" xfId="63" applyNumberFormat="1" applyFont="1" applyFill="1" applyBorder="1" applyProtection="1">
      <alignment/>
      <protection hidden="1" locked="0"/>
    </xf>
    <xf numFmtId="178" fontId="6" fillId="36" borderId="0" xfId="63" applyNumberFormat="1" applyFont="1" applyFill="1" applyBorder="1" applyProtection="1">
      <alignment/>
      <protection hidden="1" locked="0"/>
    </xf>
    <xf numFmtId="176" fontId="6" fillId="35" borderId="32" xfId="63" applyNumberFormat="1" applyFont="1" applyFill="1" applyBorder="1" applyProtection="1">
      <alignment/>
      <protection hidden="1" locked="0"/>
    </xf>
    <xf numFmtId="176" fontId="6" fillId="35" borderId="14" xfId="63" applyNumberFormat="1" applyFont="1" applyFill="1" applyBorder="1" applyProtection="1">
      <alignment/>
      <protection hidden="1" locked="0"/>
    </xf>
    <xf numFmtId="176" fontId="6" fillId="34" borderId="45" xfId="63" applyNumberFormat="1" applyFont="1" applyFill="1" applyBorder="1" applyProtection="1">
      <alignment/>
      <protection hidden="1" locked="0"/>
    </xf>
    <xf numFmtId="178" fontId="6" fillId="34" borderId="40" xfId="63" applyNumberFormat="1" applyFont="1" applyFill="1" applyBorder="1" applyProtection="1">
      <alignment/>
      <protection hidden="1" locked="0"/>
    </xf>
    <xf numFmtId="176" fontId="6" fillId="34" borderId="14" xfId="63" applyNumberFormat="1" applyFont="1" applyFill="1" applyBorder="1" applyProtection="1">
      <alignment/>
      <protection hidden="1" locked="0"/>
    </xf>
    <xf numFmtId="178" fontId="6" fillId="6" borderId="36" xfId="63" applyNumberFormat="1" applyFont="1" applyFill="1" applyBorder="1" applyAlignment="1" applyProtection="1">
      <alignment horizontal="right"/>
      <protection hidden="1"/>
    </xf>
    <xf numFmtId="176" fontId="6" fillId="6" borderId="24" xfId="63" applyNumberFormat="1" applyFont="1" applyFill="1" applyBorder="1" applyAlignment="1" applyProtection="1">
      <alignment horizontal="center"/>
      <protection hidden="1"/>
    </xf>
    <xf numFmtId="176" fontId="6" fillId="6" borderId="25" xfId="63" applyNumberFormat="1" applyFont="1" applyFill="1" applyBorder="1" applyAlignment="1" applyProtection="1">
      <alignment horizontal="center"/>
      <protection hidden="1"/>
    </xf>
    <xf numFmtId="176" fontId="6" fillId="6" borderId="26" xfId="63" applyNumberFormat="1" applyFont="1" applyFill="1" applyBorder="1" applyAlignment="1" applyProtection="1">
      <alignment horizontal="center"/>
      <protection hidden="1"/>
    </xf>
    <xf numFmtId="176" fontId="6" fillId="5" borderId="24" xfId="63" applyNumberFormat="1" applyFont="1" applyFill="1" applyBorder="1" applyAlignment="1" applyProtection="1">
      <alignment horizontal="center"/>
      <protection hidden="1"/>
    </xf>
    <xf numFmtId="176" fontId="6" fillId="5" borderId="25" xfId="63" applyNumberFormat="1" applyFont="1" applyFill="1" applyBorder="1" applyAlignment="1" applyProtection="1">
      <alignment horizontal="center"/>
      <protection hidden="1"/>
    </xf>
    <xf numFmtId="176" fontId="6" fillId="5" borderId="26" xfId="63" applyNumberFormat="1" applyFont="1" applyFill="1" applyBorder="1" applyAlignment="1" applyProtection="1">
      <alignment horizontal="center"/>
      <protection hidden="1"/>
    </xf>
    <xf numFmtId="176" fontId="6" fillId="5" borderId="46" xfId="63" applyNumberFormat="1" applyFont="1" applyFill="1" applyBorder="1" applyAlignment="1" applyProtection="1">
      <alignment horizontal="center"/>
      <protection hidden="1"/>
    </xf>
    <xf numFmtId="178" fontId="6" fillId="5" borderId="36" xfId="63" applyNumberFormat="1" applyFont="1" applyFill="1" applyBorder="1" applyAlignment="1" applyProtection="1">
      <alignment horizontal="right"/>
      <protection hidden="1"/>
    </xf>
    <xf numFmtId="176" fontId="6" fillId="4" borderId="47" xfId="63" applyNumberFormat="1" applyFont="1" applyFill="1" applyBorder="1" applyAlignment="1" applyProtection="1">
      <alignment horizontal="center"/>
      <protection hidden="1"/>
    </xf>
    <xf numFmtId="176" fontId="6" fillId="4" borderId="48" xfId="63" applyNumberFormat="1" applyFont="1" applyFill="1" applyBorder="1" applyAlignment="1" applyProtection="1">
      <alignment horizontal="center"/>
      <protection hidden="1"/>
    </xf>
    <xf numFmtId="176" fontId="6" fillId="4" borderId="49" xfId="63" applyNumberFormat="1" applyFont="1" applyFill="1" applyBorder="1" applyAlignment="1" applyProtection="1">
      <alignment horizontal="center"/>
      <protection hidden="1"/>
    </xf>
    <xf numFmtId="176" fontId="6" fillId="6" borderId="50" xfId="63" applyNumberFormat="1" applyFont="1" applyFill="1" applyBorder="1" applyAlignment="1" applyProtection="1">
      <alignment horizontal="center"/>
      <protection hidden="1"/>
    </xf>
    <xf numFmtId="176" fontId="6" fillId="6" borderId="46" xfId="63" applyNumberFormat="1" applyFont="1" applyFill="1" applyBorder="1" applyAlignment="1" applyProtection="1">
      <alignment horizontal="center"/>
      <protection hidden="1"/>
    </xf>
    <xf numFmtId="176" fontId="6" fillId="4" borderId="51" xfId="63" applyNumberFormat="1" applyFont="1" applyFill="1" applyBorder="1" applyAlignment="1" applyProtection="1">
      <alignment horizontal="center"/>
      <protection hidden="1"/>
    </xf>
    <xf numFmtId="176" fontId="6" fillId="4" borderId="46" xfId="63" applyNumberFormat="1" applyFont="1" applyFill="1" applyBorder="1" applyAlignment="1" applyProtection="1">
      <alignment horizontal="center"/>
      <protection hidden="1"/>
    </xf>
    <xf numFmtId="176" fontId="6" fillId="4" borderId="52" xfId="63" applyNumberFormat="1" applyFont="1" applyFill="1" applyBorder="1" applyAlignment="1" applyProtection="1">
      <alignment horizontal="center"/>
      <protection hidden="1"/>
    </xf>
    <xf numFmtId="176" fontId="6" fillId="5" borderId="53" xfId="63" applyNumberFormat="1" applyFont="1" applyFill="1" applyBorder="1" applyAlignment="1" applyProtection="1">
      <alignment horizontal="center"/>
      <protection hidden="1"/>
    </xf>
    <xf numFmtId="176" fontId="6" fillId="5" borderId="54" xfId="63" applyNumberFormat="1" applyFont="1" applyFill="1" applyBorder="1" applyAlignment="1" applyProtection="1">
      <alignment horizontal="center"/>
      <protection hidden="1"/>
    </xf>
    <xf numFmtId="176" fontId="6" fillId="5" borderId="55" xfId="63" applyNumberFormat="1" applyFont="1" applyFill="1" applyBorder="1" applyAlignment="1" applyProtection="1">
      <alignment horizontal="center"/>
      <protection hidden="1"/>
    </xf>
    <xf numFmtId="176" fontId="6" fillId="4" borderId="53" xfId="63" applyNumberFormat="1" applyFont="1" applyFill="1" applyBorder="1" applyAlignment="1" applyProtection="1">
      <alignment horizontal="center"/>
      <protection hidden="1"/>
    </xf>
    <xf numFmtId="176" fontId="6" fillId="4" borderId="54" xfId="63" applyNumberFormat="1" applyFont="1" applyFill="1" applyBorder="1" applyAlignment="1" applyProtection="1">
      <alignment horizontal="center"/>
      <protection hidden="1"/>
    </xf>
    <xf numFmtId="176" fontId="6" fillId="4" borderId="55" xfId="63" applyNumberFormat="1" applyFont="1" applyFill="1" applyBorder="1" applyAlignment="1" applyProtection="1">
      <alignment horizontal="center"/>
      <protection hidden="1"/>
    </xf>
    <xf numFmtId="178" fontId="6" fillId="3" borderId="36" xfId="63" applyNumberFormat="1" applyFont="1" applyFill="1" applyBorder="1" applyAlignment="1" applyProtection="1">
      <alignment horizontal="right"/>
      <protection hidden="1"/>
    </xf>
    <xf numFmtId="176" fontId="6" fillId="3" borderId="24" xfId="63" applyNumberFormat="1" applyFont="1" applyFill="1" applyBorder="1" applyAlignment="1" applyProtection="1">
      <alignment horizontal="center"/>
      <protection hidden="1"/>
    </xf>
    <xf numFmtId="176" fontId="6" fillId="3" borderId="25" xfId="63" applyNumberFormat="1" applyFont="1" applyFill="1" applyBorder="1" applyAlignment="1" applyProtection="1">
      <alignment horizontal="center"/>
      <protection hidden="1"/>
    </xf>
    <xf numFmtId="176" fontId="6" fillId="3" borderId="26" xfId="63" applyNumberFormat="1" applyFont="1" applyFill="1" applyBorder="1" applyAlignment="1" applyProtection="1">
      <alignment horizontal="center"/>
      <protection hidden="1"/>
    </xf>
    <xf numFmtId="176" fontId="6" fillId="33" borderId="53" xfId="63" applyNumberFormat="1" applyFont="1" applyFill="1" applyBorder="1" applyAlignment="1" applyProtection="1">
      <alignment horizontal="center"/>
      <protection hidden="1"/>
    </xf>
    <xf numFmtId="176" fontId="6" fillId="33" borderId="54" xfId="63" applyNumberFormat="1" applyFont="1" applyFill="1" applyBorder="1" applyAlignment="1" applyProtection="1">
      <alignment horizontal="center"/>
      <protection hidden="1"/>
    </xf>
    <xf numFmtId="176" fontId="6" fillId="33" borderId="55" xfId="63" applyNumberFormat="1" applyFont="1" applyFill="1" applyBorder="1" applyAlignment="1" applyProtection="1">
      <alignment horizontal="center"/>
      <protection hidden="1"/>
    </xf>
    <xf numFmtId="176" fontId="6" fillId="2" borderId="46" xfId="63" applyNumberFormat="1" applyFont="1" applyFill="1" applyBorder="1" applyAlignment="1" applyProtection="1">
      <alignment horizontal="center"/>
      <protection hidden="1"/>
    </xf>
    <xf numFmtId="176" fontId="7" fillId="0" borderId="0" xfId="63" applyNumberFormat="1" applyFont="1" applyBorder="1" applyAlignment="1" applyProtection="1">
      <alignment horizontal="center"/>
      <protection hidden="1"/>
    </xf>
    <xf numFmtId="176" fontId="6" fillId="33" borderId="46" xfId="63" applyNumberFormat="1" applyFont="1" applyFill="1" applyBorder="1" applyAlignment="1" applyProtection="1">
      <alignment horizontal="center"/>
      <protection hidden="1"/>
    </xf>
    <xf numFmtId="176" fontId="6" fillId="2" borderId="24" xfId="63" applyNumberFormat="1" applyFont="1" applyFill="1" applyBorder="1" applyAlignment="1" applyProtection="1">
      <alignment horizontal="center"/>
      <protection hidden="1"/>
    </xf>
    <xf numFmtId="176" fontId="6" fillId="2" borderId="26" xfId="63" applyNumberFormat="1" applyFont="1" applyFill="1" applyBorder="1" applyAlignment="1" applyProtection="1">
      <alignment horizontal="center"/>
      <protection hidden="1"/>
    </xf>
    <xf numFmtId="176" fontId="6" fillId="33" borderId="24" xfId="63" applyNumberFormat="1" applyFont="1" applyFill="1" applyBorder="1" applyAlignment="1" applyProtection="1">
      <alignment horizontal="center"/>
      <protection hidden="1"/>
    </xf>
    <xf numFmtId="176" fontId="6" fillId="33" borderId="26" xfId="63" applyNumberFormat="1" applyFont="1" applyFill="1" applyBorder="1" applyAlignment="1" applyProtection="1">
      <alignment horizontal="center"/>
      <protection hidden="1"/>
    </xf>
    <xf numFmtId="176" fontId="45" fillId="0" borderId="42" xfId="63" applyNumberFormat="1" applyFont="1" applyBorder="1" applyAlignment="1" applyProtection="1">
      <alignment horizontal="center"/>
      <protection hidden="1"/>
    </xf>
    <xf numFmtId="176" fontId="45" fillId="0" borderId="32" xfId="63" applyNumberFormat="1" applyFont="1" applyBorder="1" applyAlignment="1" applyProtection="1">
      <alignment horizontal="center"/>
      <protection hidden="1"/>
    </xf>
    <xf numFmtId="176" fontId="6" fillId="0" borderId="0" xfId="64" applyNumberFormat="1" applyFont="1" applyBorder="1" applyProtection="1">
      <alignment/>
      <protection hidden="1"/>
    </xf>
    <xf numFmtId="176" fontId="7" fillId="0" borderId="0" xfId="64" applyNumberFormat="1" applyFont="1" applyBorder="1" applyAlignment="1" applyProtection="1">
      <alignment horizontal="center"/>
      <protection hidden="1"/>
    </xf>
    <xf numFmtId="176" fontId="6" fillId="0" borderId="46" xfId="64" applyNumberFormat="1" applyFont="1" applyBorder="1" applyAlignment="1" applyProtection="1">
      <alignment horizontal="center"/>
      <protection hidden="1"/>
    </xf>
    <xf numFmtId="176" fontId="6" fillId="0" borderId="10" xfId="64" applyNumberFormat="1" applyFont="1" applyBorder="1" applyProtection="1">
      <alignment/>
      <protection hidden="1"/>
    </xf>
    <xf numFmtId="176" fontId="6" fillId="0" borderId="56" xfId="64" applyNumberFormat="1" applyFont="1" applyBorder="1" applyAlignment="1" applyProtection="1">
      <alignment horizontal="center"/>
      <protection hidden="1"/>
    </xf>
    <xf numFmtId="176" fontId="6" fillId="37" borderId="40" xfId="64" applyNumberFormat="1" applyFont="1" applyFill="1" applyBorder="1" applyAlignment="1" applyProtection="1">
      <alignment horizontal="right"/>
      <protection hidden="1" locked="0"/>
    </xf>
    <xf numFmtId="176" fontId="6" fillId="0" borderId="38" xfId="64" applyNumberFormat="1" applyFont="1" applyBorder="1" applyProtection="1">
      <alignment/>
      <protection hidden="1"/>
    </xf>
    <xf numFmtId="176" fontId="6" fillId="0" borderId="38" xfId="64" applyNumberFormat="1" applyFont="1" applyBorder="1" applyAlignment="1" applyProtection="1">
      <alignment horizontal="right"/>
      <protection hidden="1"/>
    </xf>
    <xf numFmtId="176" fontId="6" fillId="0" borderId="39" xfId="64" applyNumberFormat="1" applyFont="1" applyBorder="1" applyProtection="1">
      <alignment/>
      <protection hidden="1"/>
    </xf>
    <xf numFmtId="176" fontId="6" fillId="0" borderId="10" xfId="64" applyNumberFormat="1" applyFont="1" applyBorder="1" applyAlignment="1" applyProtection="1">
      <alignment/>
      <protection hidden="1"/>
    </xf>
    <xf numFmtId="176" fontId="6" fillId="0" borderId="0" xfId="64" applyNumberFormat="1" applyFont="1" applyBorder="1" applyAlignment="1" applyProtection="1">
      <alignment horizontal="center"/>
      <protection hidden="1"/>
    </xf>
    <xf numFmtId="176" fontId="6" fillId="37" borderId="0" xfId="64" applyNumberFormat="1" applyFont="1" applyFill="1" applyBorder="1" applyProtection="1">
      <alignment/>
      <protection hidden="1" locked="0"/>
    </xf>
    <xf numFmtId="176" fontId="6" fillId="0" borderId="57" xfId="64" applyNumberFormat="1" applyFont="1" applyBorder="1" applyProtection="1">
      <alignment/>
      <protection hidden="1"/>
    </xf>
    <xf numFmtId="176" fontId="6" fillId="0" borderId="40" xfId="64" applyNumberFormat="1" applyFont="1" applyBorder="1" applyProtection="1">
      <alignment/>
      <protection hidden="1"/>
    </xf>
    <xf numFmtId="176" fontId="6" fillId="37" borderId="38" xfId="64" applyNumberFormat="1" applyFont="1" applyFill="1" applyBorder="1" applyProtection="1">
      <alignment/>
      <protection hidden="1" locked="0"/>
    </xf>
    <xf numFmtId="176" fontId="6" fillId="0" borderId="11" xfId="64" applyNumberFormat="1" applyFont="1" applyBorder="1" applyProtection="1">
      <alignment/>
      <protection hidden="1"/>
    </xf>
    <xf numFmtId="176" fontId="6" fillId="0" borderId="12" xfId="64" applyNumberFormat="1" applyFont="1" applyBorder="1" applyProtection="1">
      <alignment/>
      <protection hidden="1"/>
    </xf>
    <xf numFmtId="176" fontId="6" fillId="0" borderId="58" xfId="64" applyNumberFormat="1" applyFont="1" applyBorder="1" applyProtection="1">
      <alignment/>
      <protection hidden="1"/>
    </xf>
    <xf numFmtId="176" fontId="6" fillId="0" borderId="59" xfId="64" applyNumberFormat="1" applyFont="1" applyBorder="1" applyProtection="1">
      <alignment/>
      <protection hidden="1"/>
    </xf>
    <xf numFmtId="176" fontId="6" fillId="37" borderId="59" xfId="64" applyNumberFormat="1" applyFont="1" applyFill="1" applyBorder="1" applyProtection="1">
      <alignment/>
      <protection hidden="1" locked="0"/>
    </xf>
    <xf numFmtId="176" fontId="6" fillId="0" borderId="60" xfId="64" applyNumberFormat="1" applyFont="1" applyBorder="1" applyProtection="1">
      <alignment/>
      <protection hidden="1"/>
    </xf>
    <xf numFmtId="176" fontId="6" fillId="0" borderId="13" xfId="64" applyNumberFormat="1" applyFont="1" applyBorder="1" applyProtection="1">
      <alignment/>
      <protection hidden="1"/>
    </xf>
    <xf numFmtId="176" fontId="26" fillId="37" borderId="40" xfId="64" applyNumberFormat="1" applyFont="1" applyFill="1" applyBorder="1" applyProtection="1">
      <alignment/>
      <protection hidden="1" locked="0"/>
    </xf>
    <xf numFmtId="176" fontId="6" fillId="0" borderId="40" xfId="64" applyNumberFormat="1" applyFont="1" applyBorder="1" applyAlignment="1" applyProtection="1">
      <alignment horizontal="right"/>
      <protection hidden="1"/>
    </xf>
    <xf numFmtId="176" fontId="27" fillId="0" borderId="38" xfId="64" applyNumberFormat="1" applyFont="1" applyBorder="1" applyProtection="1">
      <alignment/>
      <protection hidden="1"/>
    </xf>
    <xf numFmtId="176" fontId="6" fillId="37" borderId="40" xfId="64" applyNumberFormat="1" applyFont="1" applyFill="1" applyBorder="1" applyProtection="1">
      <alignment/>
      <protection hidden="1" locked="0"/>
    </xf>
    <xf numFmtId="0" fontId="6" fillId="0" borderId="38" xfId="64" applyNumberFormat="1" applyFont="1" applyBorder="1" applyProtection="1">
      <alignment/>
      <protection hidden="1"/>
    </xf>
    <xf numFmtId="176" fontId="2" fillId="0" borderId="12" xfId="64" applyNumberFormat="1" applyFont="1" applyBorder="1" applyProtection="1">
      <alignment/>
      <protection hidden="1"/>
    </xf>
    <xf numFmtId="176" fontId="6" fillId="0" borderId="40" xfId="64" applyNumberFormat="1" applyFont="1" applyFill="1" applyBorder="1" applyProtection="1">
      <alignment/>
      <protection hidden="1"/>
    </xf>
    <xf numFmtId="176" fontId="6" fillId="38" borderId="38" xfId="64" applyNumberFormat="1" applyFont="1" applyFill="1" applyBorder="1" applyProtection="1">
      <alignment/>
      <protection hidden="1" locked="0"/>
    </xf>
    <xf numFmtId="176" fontId="6" fillId="0" borderId="61" xfId="64" applyNumberFormat="1" applyFont="1" applyBorder="1" applyProtection="1">
      <alignment/>
      <protection hidden="1"/>
    </xf>
    <xf numFmtId="176" fontId="6" fillId="0" borderId="41" xfId="64" applyNumberFormat="1" applyFont="1" applyBorder="1" applyProtection="1">
      <alignment/>
      <protection hidden="1"/>
    </xf>
    <xf numFmtId="176" fontId="6" fillId="0" borderId="62" xfId="64" applyNumberFormat="1" applyFont="1" applyBorder="1" applyProtection="1">
      <alignment/>
      <protection hidden="1"/>
    </xf>
    <xf numFmtId="176" fontId="6" fillId="0" borderId="50" xfId="64" applyNumberFormat="1" applyFont="1" applyBorder="1" applyProtection="1">
      <alignment/>
      <protection hidden="1"/>
    </xf>
    <xf numFmtId="176" fontId="6" fillId="38" borderId="40" xfId="64" applyNumberFormat="1" applyFont="1" applyFill="1" applyBorder="1" applyProtection="1">
      <alignment/>
      <protection hidden="1" locked="0"/>
    </xf>
    <xf numFmtId="176" fontId="6" fillId="0" borderId="63" xfId="64" applyNumberFormat="1" applyFont="1" applyBorder="1" applyProtection="1">
      <alignment/>
      <protection hidden="1"/>
    </xf>
    <xf numFmtId="176" fontId="6" fillId="0" borderId="64" xfId="64" applyNumberFormat="1" applyFont="1" applyBorder="1" applyProtection="1">
      <alignment/>
      <protection hidden="1"/>
    </xf>
    <xf numFmtId="176" fontId="6" fillId="0" borderId="65" xfId="64" applyNumberFormat="1" applyFont="1" applyBorder="1" applyProtection="1">
      <alignment/>
      <protection hidden="1"/>
    </xf>
    <xf numFmtId="176" fontId="6" fillId="0" borderId="66" xfId="64" applyNumberFormat="1" applyFont="1" applyBorder="1" applyProtection="1">
      <alignment/>
      <protection hidden="1"/>
    </xf>
    <xf numFmtId="0" fontId="5" fillId="0" borderId="0" xfId="64" applyFo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selection activeCell="N20" sqref="N20"/>
    </sheetView>
  </sheetViews>
  <sheetFormatPr defaultColWidth="3.00390625" defaultRowHeight="15"/>
  <cols>
    <col min="1" max="1" width="3.00390625" style="1" customWidth="1"/>
    <col min="2" max="2" width="5.57421875" style="1" bestFit="1" customWidth="1"/>
    <col min="3" max="3" width="3.00390625" style="1" customWidth="1"/>
    <col min="4" max="4" width="5.421875" style="1" customWidth="1"/>
    <col min="5" max="5" width="3.00390625" style="1" customWidth="1"/>
    <col min="6" max="6" width="5.57421875" style="1" customWidth="1"/>
    <col min="7" max="7" width="4.00390625" style="1" customWidth="1"/>
    <col min="8" max="8" width="5.421875" style="1" customWidth="1"/>
    <col min="9" max="9" width="3.421875" style="1" customWidth="1"/>
    <col min="10" max="10" width="1.7109375" style="1" customWidth="1"/>
    <col min="11" max="11" width="5.421875" style="1" customWidth="1"/>
    <col min="12" max="12" width="5.00390625" style="1" customWidth="1"/>
    <col min="13" max="13" width="3.8515625" style="1" customWidth="1"/>
    <col min="14" max="14" width="7.00390625" style="1" bestFit="1" customWidth="1"/>
    <col min="15" max="15" width="0.42578125" style="1" customWidth="1"/>
    <col min="16" max="16" width="4.57421875" style="1" customWidth="1"/>
    <col min="17" max="19" width="3.00390625" style="1" customWidth="1"/>
    <col min="20" max="22" width="5.7109375" style="1" customWidth="1"/>
    <col min="23" max="255" width="3.00390625" style="1" customWidth="1"/>
    <col min="256" max="16384" width="3.00390625" style="35" customWidth="1"/>
  </cols>
  <sheetData>
    <row r="1" spans="1:18" s="1" customFormat="1" ht="8.2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1"/>
    </row>
    <row r="2" spans="1:18" s="1" customFormat="1" ht="14.25" customHeight="1">
      <c r="A2" s="12"/>
      <c r="B2" s="135" t="s">
        <v>57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R2" s="13"/>
    </row>
    <row r="3" spans="1:18" s="1" customFormat="1" ht="6" customHeight="1" thickBot="1">
      <c r="A3" s="12"/>
      <c r="R3" s="13"/>
    </row>
    <row r="4" spans="1:18" s="1" customFormat="1" ht="12" customHeight="1" thickBot="1">
      <c r="A4" s="12"/>
      <c r="N4" s="19" t="s">
        <v>2</v>
      </c>
      <c r="O4" s="20"/>
      <c r="P4" s="89">
        <v>12</v>
      </c>
      <c r="Q4" s="21" t="s">
        <v>19</v>
      </c>
      <c r="R4" s="13"/>
    </row>
    <row r="5" spans="1:18" s="1" customFormat="1" ht="12" customHeight="1" thickBot="1">
      <c r="A5" s="12"/>
      <c r="F5" s="134" t="s">
        <v>23</v>
      </c>
      <c r="G5" s="134"/>
      <c r="H5" s="134"/>
      <c r="I5" s="134"/>
      <c r="J5" s="2"/>
      <c r="N5" s="22" t="s">
        <v>20</v>
      </c>
      <c r="O5" s="18"/>
      <c r="P5" s="90">
        <v>17</v>
      </c>
      <c r="Q5" s="23" t="s">
        <v>10</v>
      </c>
      <c r="R5" s="13"/>
    </row>
    <row r="6" spans="1:18" s="1" customFormat="1" ht="12" customHeight="1" thickBot="1">
      <c r="A6" s="12"/>
      <c r="B6" s="134" t="s">
        <v>12</v>
      </c>
      <c r="C6" s="134"/>
      <c r="D6" s="134"/>
      <c r="E6" s="134"/>
      <c r="F6" s="91">
        <f>10^(59/10)</f>
        <v>794328.2347242833</v>
      </c>
      <c r="G6" s="43" t="s">
        <v>8</v>
      </c>
      <c r="H6" s="44">
        <f>10*LOG10(F6*1000)</f>
        <v>89</v>
      </c>
      <c r="I6" s="45" t="s">
        <v>9</v>
      </c>
      <c r="J6" s="2"/>
      <c r="N6" s="24" t="s">
        <v>29</v>
      </c>
      <c r="O6" s="15"/>
      <c r="P6" s="92">
        <v>34.5</v>
      </c>
      <c r="Q6" s="25" t="s">
        <v>30</v>
      </c>
      <c r="R6" s="13"/>
    </row>
    <row r="7" spans="1:18" s="1" customFormat="1" ht="12" customHeight="1" thickBot="1">
      <c r="A7" s="12"/>
      <c r="B7" s="93">
        <v>36000</v>
      </c>
      <c r="C7" s="43" t="s">
        <v>13</v>
      </c>
      <c r="D7" s="53">
        <f>-20*LOG10(4*PI()*B7*1000/300*F*1000)</f>
        <v>-205.1514471223469</v>
      </c>
      <c r="E7" s="45" t="s">
        <v>4</v>
      </c>
      <c r="F7" s="4"/>
      <c r="G7" s="5"/>
      <c r="H7" s="5"/>
      <c r="I7" s="5"/>
      <c r="K7" s="137" t="s">
        <v>44</v>
      </c>
      <c r="L7" s="138"/>
      <c r="N7" s="22" t="s">
        <v>25</v>
      </c>
      <c r="O7" s="18"/>
      <c r="P7" s="94">
        <v>45</v>
      </c>
      <c r="Q7" s="23" t="s">
        <v>1</v>
      </c>
      <c r="R7" s="13"/>
    </row>
    <row r="8" spans="1:18" s="1" customFormat="1" ht="12" customHeight="1" thickBot="1">
      <c r="A8" s="12"/>
      <c r="B8" s="134" t="s">
        <v>24</v>
      </c>
      <c r="C8" s="134"/>
      <c r="D8" s="134"/>
      <c r="E8" s="134"/>
      <c r="F8" s="6"/>
      <c r="K8" s="95">
        <v>24</v>
      </c>
      <c r="L8" s="64" t="s">
        <v>0</v>
      </c>
      <c r="N8" s="24" t="s">
        <v>26</v>
      </c>
      <c r="O8" s="15"/>
      <c r="P8" s="92">
        <v>0.7</v>
      </c>
      <c r="Q8" s="25"/>
      <c r="R8" s="13"/>
    </row>
    <row r="9" spans="1:18" s="1" customFormat="1" ht="12" customHeight="1" thickBot="1">
      <c r="A9" s="12"/>
      <c r="B9" s="54"/>
      <c r="C9" s="43"/>
      <c r="D9" s="96">
        <v>-0.6</v>
      </c>
      <c r="E9" s="45" t="s">
        <v>4</v>
      </c>
      <c r="F9" s="6"/>
      <c r="K9" s="139" t="s">
        <v>31</v>
      </c>
      <c r="L9" s="140"/>
      <c r="N9" s="38" t="s">
        <v>52</v>
      </c>
      <c r="O9" s="11"/>
      <c r="P9" s="36">
        <f>D22+D24+D34+D36</f>
        <v>-32.65561976585498</v>
      </c>
      <c r="Q9" s="26" t="s">
        <v>0</v>
      </c>
      <c r="R9" s="13"/>
    </row>
    <row r="10" spans="1:22" s="1" customFormat="1" ht="12" customHeight="1" thickBot="1">
      <c r="A10" s="12"/>
      <c r="B10" s="134" t="s">
        <v>21</v>
      </c>
      <c r="C10" s="134"/>
      <c r="D10" s="134"/>
      <c r="E10" s="134"/>
      <c r="F10" s="6"/>
      <c r="K10" s="97">
        <f>273*(1-10^(D11/10))+50</f>
        <v>251.19368382125606</v>
      </c>
      <c r="L10" s="65" t="s">
        <v>32</v>
      </c>
      <c r="N10" s="38" t="s">
        <v>40</v>
      </c>
      <c r="O10" s="13"/>
      <c r="P10" s="36">
        <f>IF(C15="ON",IF(C26="ON",10*LOG10(10^(K12/10)+(10^((D22+D24)/10)-1)/10^((B17)/10)+(10^((K23)/10)-1)/10^((B17+D22+D24)/10)+(10^((D34+D36)/10)-1)/10^((B17+D22+D24+B28)/10)+(10^((K35)/10)-1)/10^((B17+D22+D24+B28+D34+D36)/10)),10*LOG10(10^(K12/10)+(10^((D22+D24+D34+D36)/10)-1)/10^((B17)/10)+(10^((K35)/10)-1)/10^((B17+D22+D24+D34+D36)/10))),IF(C26="ON",10*LOG10(10^((D22+D24)/10)+(10^((K23)/10)-1)/10^((D22+D24)/10)+(10^((D34+D36)/10)-1)/10^((D22+D24+B28)/10)+(10^((K35)/10)-1)/10^((D22+D24+B28+D34+D36)/10)),10*LOG10(10^((D22+D24+D34+D36)/10)+(10^((K35)/10)-1)/10^((D22+D24+D34+D36)/10))))</f>
        <v>0.7580973644775401</v>
      </c>
      <c r="Q10" s="26" t="s">
        <v>0</v>
      </c>
      <c r="R10" s="13"/>
      <c r="T10" s="1" t="s">
        <v>53</v>
      </c>
      <c r="U10" s="1" t="s">
        <v>59</v>
      </c>
      <c r="V10" s="1" t="s">
        <v>56</v>
      </c>
    </row>
    <row r="11" spans="1:22" s="1" customFormat="1" ht="12" customHeight="1" thickBot="1">
      <c r="A11" s="12"/>
      <c r="B11" s="55"/>
      <c r="C11" s="56"/>
      <c r="D11" s="98">
        <v>-5.8</v>
      </c>
      <c r="E11" s="57" t="s">
        <v>4</v>
      </c>
      <c r="F11" s="136" t="s">
        <v>22</v>
      </c>
      <c r="G11" s="136"/>
      <c r="H11" s="136"/>
      <c r="I11" s="136"/>
      <c r="K11" s="128" t="s">
        <v>28</v>
      </c>
      <c r="L11" s="130"/>
      <c r="N11" s="8" t="s">
        <v>41</v>
      </c>
      <c r="O11" s="31"/>
      <c r="P11" s="37">
        <f>I40</f>
        <v>10.743459157993271</v>
      </c>
      <c r="Q11" s="9" t="s">
        <v>0</v>
      </c>
      <c r="R11" s="13"/>
      <c r="T11" s="1" t="s">
        <v>54</v>
      </c>
      <c r="U11" s="1" t="s">
        <v>54</v>
      </c>
      <c r="V11" s="10">
        <f>10*LOG10(10^(K12/10)+(10^((D22+D24)/10)-1)/10^((B17)/10)+(10^((K23)/10)-1)/10^((B17+D22+D24)/10)+(10^((D34+D36)/10)-1)/10^((B17+D22+D24+B28)/10)+(10^((K35)/10)-1)/10^((B17+D22+D24+B28+D34+D36)/10))</f>
        <v>0.7580973644775401</v>
      </c>
    </row>
    <row r="12" spans="1:22" s="1" customFormat="1" ht="12" customHeight="1" thickBot="1">
      <c r="A12" s="12"/>
      <c r="B12" s="131" t="s">
        <v>14</v>
      </c>
      <c r="C12" s="132"/>
      <c r="D12" s="132"/>
      <c r="E12" s="133"/>
      <c r="F12" s="61">
        <f>H12-(10*LOG10((0.000001)^2/75*1000)-2.15)</f>
        <v>-11.050834488429885</v>
      </c>
      <c r="G12" s="61" t="s">
        <v>15</v>
      </c>
      <c r="H12" s="62">
        <f>H6+D7+D11</f>
        <v>-121.95144712234689</v>
      </c>
      <c r="I12" s="63" t="s">
        <v>9</v>
      </c>
      <c r="J12" s="2"/>
      <c r="K12" s="97">
        <v>0.6</v>
      </c>
      <c r="L12" s="66" t="s">
        <v>4</v>
      </c>
      <c r="P12" s="141" t="str">
        <f>IF(P11&gt;10,"Passed","Failed")</f>
        <v>Passed</v>
      </c>
      <c r="Q12" s="142"/>
      <c r="R12" s="13"/>
      <c r="T12" s="1" t="s">
        <v>54</v>
      </c>
      <c r="U12" s="1" t="s">
        <v>55</v>
      </c>
      <c r="V12" s="10">
        <f>10*LOG10(10^(K12/10)+(10^((D22+D24+D34+D36)/10)-1)/10^((B17)/10)+(10^((K35)/10)-1)/10^((B17+D22+D24+D34+D36)/10))</f>
        <v>5.9122776086816975</v>
      </c>
    </row>
    <row r="13" spans="1:22" s="1" customFormat="1" ht="12" customHeight="1" thickBot="1">
      <c r="A13" s="12"/>
      <c r="B13" s="58"/>
      <c r="C13" s="59"/>
      <c r="D13" s="60">
        <f>10*LOG(4*PI()*P8*(P7/100)^2/(0.3/F)^2)</f>
        <v>34.54852914242965</v>
      </c>
      <c r="E13" s="59" t="s">
        <v>11</v>
      </c>
      <c r="F13" s="128" t="s">
        <v>27</v>
      </c>
      <c r="G13" s="129"/>
      <c r="H13" s="129"/>
      <c r="I13" s="130"/>
      <c r="K13" s="128" t="s">
        <v>35</v>
      </c>
      <c r="L13" s="129"/>
      <c r="M13" s="130"/>
      <c r="P13" s="34"/>
      <c r="R13" s="13"/>
      <c r="T13" s="1" t="s">
        <v>55</v>
      </c>
      <c r="U13" s="1" t="s">
        <v>54</v>
      </c>
      <c r="V13" s="10">
        <f>10*LOG10(10^((D22+D24)/10)+(10^((K23)/10)-1)/10^((D22+D24)/10)+(10^((D34+D36)/10)-1)/10^((D22+D24+B28)/10)+(10^((K35)/10)-1)/10^((D22+D24+B28+D34+D36)/10))</f>
        <v>19.341527612128033</v>
      </c>
    </row>
    <row r="14" spans="1:22" s="1" customFormat="1" ht="12" customHeight="1" thickBot="1">
      <c r="A14" s="12"/>
      <c r="F14" s="50">
        <f>H14-(10*LOG10((0.000001)^2/75*1000)-2.15)</f>
        <v>23.49769465399976</v>
      </c>
      <c r="G14" s="51" t="s">
        <v>15</v>
      </c>
      <c r="H14" s="52">
        <f>H12+D13</f>
        <v>-87.40291797991725</v>
      </c>
      <c r="I14" s="66" t="s">
        <v>9</v>
      </c>
      <c r="K14" s="67"/>
      <c r="L14" s="52">
        <f>10*LOG10(1.38E-23*(K10+IF(C15="ON",(273+TEMPC)*(10^(K12/10)-1),0))*(BW*1000000)*1000+10^((H14-K8)/10))</f>
        <v>-98.31831959600885</v>
      </c>
      <c r="M14" s="66" t="s">
        <v>7</v>
      </c>
      <c r="R14" s="13"/>
      <c r="T14" s="1" t="s">
        <v>55</v>
      </c>
      <c r="U14" s="1" t="s">
        <v>55</v>
      </c>
      <c r="V14" s="10">
        <f>10*LOG10(10^((D22+D24+D34+D36)/10)+(10^((K35)/10)-1)/10^((D22+D24+D34+D36)/10))</f>
        <v>37.39934441976955</v>
      </c>
    </row>
    <row r="15" spans="1:22" s="1" customFormat="1" ht="12" customHeight="1" thickBot="1">
      <c r="A15" s="12"/>
      <c r="B15" s="68" t="s">
        <v>49</v>
      </c>
      <c r="C15" s="99" t="s">
        <v>46</v>
      </c>
      <c r="E15" s="26"/>
      <c r="H15" s="41"/>
      <c r="I15" s="33"/>
      <c r="J15" s="40"/>
      <c r="K15" s="27"/>
      <c r="R15" s="13"/>
      <c r="V15" s="10"/>
    </row>
    <row r="16" spans="1:18" s="1" customFormat="1" ht="12" customHeight="1">
      <c r="A16" s="12"/>
      <c r="B16" s="128" t="s">
        <v>34</v>
      </c>
      <c r="C16" s="129"/>
      <c r="D16" s="129"/>
      <c r="E16" s="130"/>
      <c r="H16" s="128" t="s">
        <v>42</v>
      </c>
      <c r="I16" s="129"/>
      <c r="J16" s="129"/>
      <c r="K16" s="129"/>
      <c r="L16" s="130"/>
      <c r="R16" s="13"/>
    </row>
    <row r="17" spans="1:18" s="1" customFormat="1" ht="12" customHeight="1" thickBot="1">
      <c r="A17" s="12"/>
      <c r="B17" s="100">
        <v>33</v>
      </c>
      <c r="C17" s="51" t="s">
        <v>51</v>
      </c>
      <c r="D17" s="52">
        <f>IF(C15="ON",B17,0)</f>
        <v>33</v>
      </c>
      <c r="E17" s="66" t="s">
        <v>0</v>
      </c>
      <c r="H17" s="67"/>
      <c r="I17" s="127">
        <f>H14-L14</f>
        <v>10.9154016160916</v>
      </c>
      <c r="J17" s="127"/>
      <c r="K17" s="51" t="s">
        <v>4</v>
      </c>
      <c r="L17" s="88" t="str">
        <f>IF(I17&gt;10,"Passed","Failed")</f>
        <v>Passed</v>
      </c>
      <c r="R17" s="13"/>
    </row>
    <row r="18" spans="1:18" s="1" customFormat="1" ht="12" customHeight="1" thickBot="1">
      <c r="A18" s="12"/>
      <c r="B18" s="34"/>
      <c r="D18" s="39"/>
      <c r="E18" s="26"/>
      <c r="H18" s="42"/>
      <c r="I18" s="40"/>
      <c r="J18" s="40"/>
      <c r="R18" s="13"/>
    </row>
    <row r="19" spans="1:18" s="1" customFormat="1" ht="12" customHeight="1">
      <c r="A19" s="12"/>
      <c r="F19" s="128" t="s">
        <v>33</v>
      </c>
      <c r="G19" s="129"/>
      <c r="H19" s="129"/>
      <c r="I19" s="130"/>
      <c r="R19" s="13"/>
    </row>
    <row r="20" spans="1:18" s="1" customFormat="1" ht="12" customHeight="1" thickBot="1">
      <c r="A20" s="12"/>
      <c r="F20" s="50">
        <f>H20-(10*LOG10((0.000001)^2/75*1000)-2.15)</f>
        <v>56.49769465399976</v>
      </c>
      <c r="G20" s="51" t="s">
        <v>15</v>
      </c>
      <c r="H20" s="52">
        <f>H14+D17</f>
        <v>-54.40291797991725</v>
      </c>
      <c r="I20" s="66" t="s">
        <v>9</v>
      </c>
      <c r="R20" s="13"/>
    </row>
    <row r="21" spans="1:18" s="1" customFormat="1" ht="12" customHeight="1" thickBot="1">
      <c r="A21" s="12"/>
      <c r="B21" s="124" t="s">
        <v>5</v>
      </c>
      <c r="C21" s="125"/>
      <c r="D21" s="125"/>
      <c r="E21" s="126"/>
      <c r="R21" s="13"/>
    </row>
    <row r="22" spans="1:18" s="1" customFormat="1" ht="12" customHeight="1" thickBot="1">
      <c r="A22" s="12"/>
      <c r="B22" s="101">
        <v>2</v>
      </c>
      <c r="C22" s="49" t="s">
        <v>3</v>
      </c>
      <c r="D22" s="69">
        <f>-10*LOG(B22,10)*1.8</f>
        <v>-5.418539921951661</v>
      </c>
      <c r="E22" s="70" t="s">
        <v>4</v>
      </c>
      <c r="K22" s="111" t="s">
        <v>38</v>
      </c>
      <c r="L22" s="111"/>
      <c r="R22" s="13"/>
    </row>
    <row r="23" spans="1:18" s="1" customFormat="1" ht="12" customHeight="1" thickBot="1">
      <c r="A23" s="12"/>
      <c r="B23" s="118" t="s">
        <v>16</v>
      </c>
      <c r="C23" s="119"/>
      <c r="D23" s="119"/>
      <c r="E23" s="120"/>
      <c r="K23" s="102">
        <v>6</v>
      </c>
      <c r="L23" s="48" t="s">
        <v>4</v>
      </c>
      <c r="R23" s="13"/>
    </row>
    <row r="24" spans="1:18" s="1" customFormat="1" ht="12" customHeight="1" thickBot="1">
      <c r="A24" s="12"/>
      <c r="B24" s="101">
        <v>20</v>
      </c>
      <c r="C24" s="49" t="s">
        <v>6</v>
      </c>
      <c r="D24" s="69">
        <f>-0.41*B24</f>
        <v>-8.2</v>
      </c>
      <c r="E24" s="49" t="s">
        <v>4</v>
      </c>
      <c r="F24" s="121" t="s">
        <v>37</v>
      </c>
      <c r="G24" s="122"/>
      <c r="H24" s="122"/>
      <c r="I24" s="123"/>
      <c r="K24" s="108" t="s">
        <v>35</v>
      </c>
      <c r="L24" s="109"/>
      <c r="M24" s="110"/>
      <c r="R24" s="13"/>
    </row>
    <row r="25" spans="1:18" s="1" customFormat="1" ht="12" customHeight="1" thickBot="1">
      <c r="A25" s="12"/>
      <c r="F25" s="71">
        <f>H25-(10*LOG10((0.000001)^2/75*1000)-2.15)</f>
        <v>42.87915473204809</v>
      </c>
      <c r="G25" s="72" t="s">
        <v>15</v>
      </c>
      <c r="H25" s="73">
        <f>H20+D22+D24</f>
        <v>-68.02145790186891</v>
      </c>
      <c r="I25" s="74" t="s">
        <v>9</v>
      </c>
      <c r="K25" s="75"/>
      <c r="L25" s="73">
        <f>10*LOG10(IF(C26="ON",1.38E-23*((273+TEMPC)*(10^(K23/10)-1))*(BW*1000000)*1000,0)+10^((L14+D17+D22+D24)/10))</f>
        <v>-78.79912776422195</v>
      </c>
      <c r="M25" s="74" t="s">
        <v>7</v>
      </c>
      <c r="R25" s="13"/>
    </row>
    <row r="26" spans="1:18" s="1" customFormat="1" ht="12" customHeight="1" thickBot="1">
      <c r="A26" s="12"/>
      <c r="B26" s="76" t="s">
        <v>50</v>
      </c>
      <c r="C26" s="99" t="s">
        <v>46</v>
      </c>
      <c r="E26" s="9"/>
      <c r="H26" s="27"/>
      <c r="K26" s="27"/>
      <c r="L26" s="28"/>
      <c r="R26" s="13"/>
    </row>
    <row r="27" spans="1:18" s="1" customFormat="1" ht="12" customHeight="1">
      <c r="A27" s="12"/>
      <c r="B27" s="108" t="s">
        <v>36</v>
      </c>
      <c r="C27" s="109"/>
      <c r="D27" s="109"/>
      <c r="E27" s="110"/>
      <c r="H27" s="108" t="s">
        <v>43</v>
      </c>
      <c r="I27" s="109"/>
      <c r="J27" s="109"/>
      <c r="K27" s="109"/>
      <c r="L27" s="110"/>
      <c r="R27" s="13"/>
    </row>
    <row r="28" spans="1:18" s="1" customFormat="1" ht="12" customHeight="1" thickBot="1">
      <c r="A28" s="12"/>
      <c r="B28" s="100">
        <v>25</v>
      </c>
      <c r="C28" s="72" t="s">
        <v>51</v>
      </c>
      <c r="D28" s="73">
        <f>IF(C26="ON",B28,0)</f>
        <v>25</v>
      </c>
      <c r="E28" s="74" t="s">
        <v>0</v>
      </c>
      <c r="H28" s="75"/>
      <c r="I28" s="112">
        <f>H25-L25</f>
        <v>10.777669862353036</v>
      </c>
      <c r="J28" s="112"/>
      <c r="K28" s="72" t="s">
        <v>4</v>
      </c>
      <c r="L28" s="87" t="str">
        <f>IF(I28&gt;10,"Passed","Failed")</f>
        <v>Passed</v>
      </c>
      <c r="R28" s="13"/>
    </row>
    <row r="29" spans="1:18" s="1" customFormat="1" ht="12" customHeight="1" thickBot="1">
      <c r="A29" s="12"/>
      <c r="B29" s="34"/>
      <c r="D29" s="39"/>
      <c r="E29" s="26"/>
      <c r="H29" s="7"/>
      <c r="I29" s="40"/>
      <c r="J29" s="40"/>
      <c r="R29" s="13"/>
    </row>
    <row r="30" spans="1:18" s="1" customFormat="1" ht="12" customHeight="1">
      <c r="A30" s="12"/>
      <c r="B30" s="34"/>
      <c r="D30" s="39"/>
      <c r="E30" s="26"/>
      <c r="F30" s="108" t="s">
        <v>58</v>
      </c>
      <c r="G30" s="109"/>
      <c r="H30" s="109"/>
      <c r="I30" s="110"/>
      <c r="J30" s="40"/>
      <c r="R30" s="13"/>
    </row>
    <row r="31" spans="1:18" s="1" customFormat="1" ht="12" customHeight="1" thickBot="1">
      <c r="A31" s="12"/>
      <c r="B31" s="34"/>
      <c r="D31" s="39"/>
      <c r="E31" s="26"/>
      <c r="F31" s="71">
        <f>H31-(10*LOG10((0.000001)^2/75*1000)-2.15)</f>
        <v>67.8791547320481</v>
      </c>
      <c r="G31" s="72" t="s">
        <v>15</v>
      </c>
      <c r="H31" s="73">
        <f>H25+D28</f>
        <v>-43.021457901868914</v>
      </c>
      <c r="I31" s="74" t="s">
        <v>9</v>
      </c>
      <c r="J31" s="40"/>
      <c r="R31" s="13"/>
    </row>
    <row r="32" spans="1:18" s="1" customFormat="1" ht="12" customHeight="1" thickBot="1">
      <c r="A32" s="12"/>
      <c r="B32" s="3"/>
      <c r="C32" s="3"/>
      <c r="D32" s="3"/>
      <c r="E32" s="29"/>
      <c r="H32" s="7"/>
      <c r="R32" s="13"/>
    </row>
    <row r="33" spans="1:18" s="1" customFormat="1" ht="12" customHeight="1" thickBot="1">
      <c r="A33" s="12"/>
      <c r="B33" s="124" t="s">
        <v>5</v>
      </c>
      <c r="C33" s="125"/>
      <c r="D33" s="125"/>
      <c r="E33" s="126"/>
      <c r="H33" s="7"/>
      <c r="R33" s="13"/>
    </row>
    <row r="34" spans="1:18" s="1" customFormat="1" ht="12" customHeight="1" thickBot="1">
      <c r="A34" s="12"/>
      <c r="B34" s="103">
        <v>4</v>
      </c>
      <c r="C34" s="77" t="s">
        <v>3</v>
      </c>
      <c r="D34" s="78">
        <f>-10*LOG(B34,10)*1.8</f>
        <v>-10.837079843903322</v>
      </c>
      <c r="E34" s="79" t="s">
        <v>4</v>
      </c>
      <c r="K34" s="117" t="s">
        <v>17</v>
      </c>
      <c r="L34" s="117"/>
      <c r="R34" s="13"/>
    </row>
    <row r="35" spans="1:18" s="1" customFormat="1" ht="12" customHeight="1" thickBot="1">
      <c r="A35" s="12"/>
      <c r="B35" s="113" t="s">
        <v>16</v>
      </c>
      <c r="C35" s="114"/>
      <c r="D35" s="114"/>
      <c r="E35" s="115"/>
      <c r="K35" s="102">
        <v>6</v>
      </c>
      <c r="L35" s="47" t="s">
        <v>4</v>
      </c>
      <c r="R35" s="13"/>
    </row>
    <row r="36" spans="1:18" s="1" customFormat="1" ht="12" customHeight="1" thickBot="1">
      <c r="A36" s="12"/>
      <c r="B36" s="103">
        <v>20</v>
      </c>
      <c r="C36" s="77" t="s">
        <v>6</v>
      </c>
      <c r="D36" s="78">
        <f>-0.41*B36</f>
        <v>-8.2</v>
      </c>
      <c r="E36" s="79" t="s">
        <v>4</v>
      </c>
      <c r="F36" s="116" t="s">
        <v>18</v>
      </c>
      <c r="G36" s="117"/>
      <c r="H36" s="117"/>
      <c r="I36" s="117"/>
      <c r="J36" s="2"/>
      <c r="K36" s="105" t="s">
        <v>35</v>
      </c>
      <c r="L36" s="106"/>
      <c r="M36" s="107"/>
      <c r="R36" s="13"/>
    </row>
    <row r="37" spans="1:18" s="1" customFormat="1" ht="12" customHeight="1" thickBot="1">
      <c r="A37" s="12"/>
      <c r="F37" s="83">
        <f>H37-(10*LOG10((0.000001)^2/75*1000)-2.15)</f>
        <v>48.842074888144765</v>
      </c>
      <c r="G37" s="46" t="s">
        <v>15</v>
      </c>
      <c r="H37" s="84">
        <f>H31+D34+D36</f>
        <v>-62.05853774577224</v>
      </c>
      <c r="I37" s="47" t="s">
        <v>9</v>
      </c>
      <c r="J37" s="2"/>
      <c r="K37" s="85"/>
      <c r="L37" s="81">
        <f>10*LOG10(1.38E-23*((273+P5)*(10^(K35/10)-1))*(P6*1000000)*1000+10^((L25+D28+D34+D36)/10))</f>
        <v>-72.80199690376551</v>
      </c>
      <c r="M37" s="82" t="s">
        <v>7</v>
      </c>
      <c r="R37" s="13"/>
    </row>
    <row r="38" spans="1:18" s="1" customFormat="1" ht="12" customHeight="1" thickBot="1">
      <c r="A38" s="12"/>
      <c r="F38" s="5"/>
      <c r="G38" s="5"/>
      <c r="H38" s="27"/>
      <c r="K38" s="27"/>
      <c r="L38" s="28"/>
      <c r="R38" s="13"/>
    </row>
    <row r="39" spans="1:18" s="1" customFormat="1" ht="12" customHeight="1">
      <c r="A39" s="12"/>
      <c r="H39" s="105" t="s">
        <v>45</v>
      </c>
      <c r="I39" s="106"/>
      <c r="J39" s="106"/>
      <c r="K39" s="106"/>
      <c r="L39" s="107"/>
      <c r="R39" s="13"/>
    </row>
    <row r="40" spans="1:18" s="1" customFormat="1" ht="12" customHeight="1" thickBot="1">
      <c r="A40" s="12"/>
      <c r="H40" s="85"/>
      <c r="I40" s="104">
        <f>H37-L37</f>
        <v>10.743459157993271</v>
      </c>
      <c r="J40" s="104"/>
      <c r="K40" s="80" t="s">
        <v>4</v>
      </c>
      <c r="L40" s="86" t="str">
        <f>IF(I40&gt;10,"Passed","Failed")</f>
        <v>Passed</v>
      </c>
      <c r="M40" s="30" t="s">
        <v>39</v>
      </c>
      <c r="R40" s="13"/>
    </row>
    <row r="41" spans="1:18" s="1" customFormat="1" ht="14.25" customHeight="1">
      <c r="A41" s="14"/>
      <c r="B41" s="15"/>
      <c r="C41" s="15"/>
      <c r="D41" s="15"/>
      <c r="E41" s="15"/>
      <c r="F41" s="15"/>
      <c r="G41" s="15"/>
      <c r="H41" s="15"/>
      <c r="I41" s="15"/>
      <c r="J41" s="32"/>
      <c r="K41" s="32"/>
      <c r="L41" s="32"/>
      <c r="M41" s="15"/>
      <c r="N41" s="15"/>
      <c r="O41" s="15"/>
      <c r="P41" s="15"/>
      <c r="Q41" s="15"/>
      <c r="R41" s="16"/>
    </row>
    <row r="42" s="1" customFormat="1" ht="13.5" customHeight="1"/>
    <row r="43" s="1" customFormat="1" ht="14.25" customHeight="1" hidden="1">
      <c r="C43" s="1" t="s">
        <v>47</v>
      </c>
    </row>
    <row r="44" s="1" customFormat="1" ht="14.25" customHeight="1" hidden="1">
      <c r="C44" s="1" t="s">
        <v>48</v>
      </c>
    </row>
    <row r="45" s="1" customFormat="1" ht="14.25" customHeight="1"/>
  </sheetData>
  <sheetProtection password="DF1A" sheet="1"/>
  <mergeCells count="33">
    <mergeCell ref="K7:L7"/>
    <mergeCell ref="K9:L9"/>
    <mergeCell ref="F30:I30"/>
    <mergeCell ref="P12:Q12"/>
    <mergeCell ref="K11:L11"/>
    <mergeCell ref="K13:M13"/>
    <mergeCell ref="B12:E12"/>
    <mergeCell ref="B16:E16"/>
    <mergeCell ref="B8:E8"/>
    <mergeCell ref="F13:I13"/>
    <mergeCell ref="B2:P2"/>
    <mergeCell ref="F5:I5"/>
    <mergeCell ref="B6:E6"/>
    <mergeCell ref="B10:E10"/>
    <mergeCell ref="F11:I11"/>
    <mergeCell ref="H16:L16"/>
    <mergeCell ref="B23:E23"/>
    <mergeCell ref="F24:I24"/>
    <mergeCell ref="K34:L34"/>
    <mergeCell ref="B33:E33"/>
    <mergeCell ref="I17:J17"/>
    <mergeCell ref="F19:I19"/>
    <mergeCell ref="B21:E21"/>
    <mergeCell ref="I40:J40"/>
    <mergeCell ref="K36:M36"/>
    <mergeCell ref="B27:E27"/>
    <mergeCell ref="K22:L22"/>
    <mergeCell ref="K24:M24"/>
    <mergeCell ref="I28:J28"/>
    <mergeCell ref="H39:L39"/>
    <mergeCell ref="B35:E35"/>
    <mergeCell ref="F36:I36"/>
    <mergeCell ref="H27:L27"/>
  </mergeCells>
  <dataValidations count="1">
    <dataValidation type="list" allowBlank="1" showInputMessage="1" showErrorMessage="1" sqref="C15 C26">
      <formula1>$C$43:$C$44</formula1>
    </dataValidation>
  </dataValidation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S2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2" width="3.00390625" style="143" customWidth="1"/>
    <col min="3" max="3" width="3.57421875" style="143" customWidth="1"/>
    <col min="4" max="4" width="3.00390625" style="143" customWidth="1"/>
    <col min="5" max="5" width="3.57421875" style="143" customWidth="1"/>
    <col min="6" max="6" width="3.00390625" style="143" customWidth="1"/>
    <col min="7" max="7" width="3.57421875" style="143" customWidth="1"/>
    <col min="8" max="8" width="3.00390625" style="143" customWidth="1"/>
    <col min="9" max="9" width="3.57421875" style="143" customWidth="1"/>
    <col min="10" max="10" width="3.00390625" style="143" customWidth="1"/>
    <col min="11" max="11" width="0.85546875" style="143" customWidth="1"/>
    <col min="12" max="13" width="3.00390625" style="143" customWidth="1"/>
    <col min="14" max="14" width="4.421875" style="143" customWidth="1"/>
    <col min="15" max="15" width="3.00390625" style="143" customWidth="1"/>
    <col min="16" max="16" width="0.42578125" style="143" customWidth="1"/>
    <col min="17" max="17" width="4.00390625" style="143" customWidth="1"/>
    <col min="18" max="16384" width="3.00390625" style="143" customWidth="1"/>
  </cols>
  <sheetData>
    <row r="1" s="143" customFormat="1" ht="14.25" customHeight="1"/>
    <row r="2" spans="3:17" s="143" customFormat="1" ht="14.25" customHeight="1">
      <c r="C2" s="144" t="s">
        <v>60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="143" customFormat="1" ht="6" customHeight="1"/>
    <row r="4" s="143" customFormat="1" ht="3.75" customHeight="1" thickBot="1"/>
    <row r="5" spans="7:19" s="143" customFormat="1" ht="14.25" customHeight="1" thickBot="1">
      <c r="G5" s="145" t="s">
        <v>61</v>
      </c>
      <c r="H5" s="145"/>
      <c r="I5" s="145"/>
      <c r="J5" s="145"/>
      <c r="K5" s="146"/>
      <c r="O5" s="147" t="s">
        <v>62</v>
      </c>
      <c r="P5" s="147"/>
      <c r="Q5" s="147"/>
      <c r="R5" s="147"/>
      <c r="S5" s="146"/>
    </row>
    <row r="6" spans="3:19" s="143" customFormat="1" ht="14.25" customHeight="1" thickBot="1">
      <c r="C6" s="145" t="s">
        <v>63</v>
      </c>
      <c r="D6" s="145"/>
      <c r="E6" s="145"/>
      <c r="F6" s="145"/>
      <c r="G6" s="148">
        <v>300</v>
      </c>
      <c r="H6" s="149" t="s">
        <v>8</v>
      </c>
      <c r="I6" s="150">
        <f>10*LOG10(G6*1000)</f>
        <v>54.771212547196626</v>
      </c>
      <c r="J6" s="151" t="s">
        <v>9</v>
      </c>
      <c r="K6" s="146"/>
      <c r="O6" s="152" t="s">
        <v>2</v>
      </c>
      <c r="P6" s="153"/>
      <c r="Q6" s="154">
        <v>500</v>
      </c>
      <c r="R6" s="155" t="s">
        <v>64</v>
      </c>
      <c r="S6" s="146"/>
    </row>
    <row r="7" spans="3:19" s="143" customFormat="1" ht="14.25" customHeight="1" thickBot="1">
      <c r="C7" s="156"/>
      <c r="D7" s="149"/>
      <c r="E7" s="157">
        <v>0</v>
      </c>
      <c r="F7" s="151" t="s">
        <v>4</v>
      </c>
      <c r="G7" s="158"/>
      <c r="H7" s="159"/>
      <c r="I7" s="159"/>
      <c r="J7" s="159"/>
      <c r="O7" s="160" t="s">
        <v>65</v>
      </c>
      <c r="P7" s="161"/>
      <c r="Q7" s="162">
        <v>30</v>
      </c>
      <c r="R7" s="163" t="s">
        <v>10</v>
      </c>
      <c r="S7" s="146"/>
    </row>
    <row r="8" spans="3:18" s="143" customFormat="1" ht="14.25" customHeight="1" thickBot="1">
      <c r="C8" s="145" t="s">
        <v>66</v>
      </c>
      <c r="D8" s="145"/>
      <c r="E8" s="145"/>
      <c r="F8" s="145"/>
      <c r="G8" s="164"/>
      <c r="O8" s="159"/>
      <c r="P8" s="159"/>
      <c r="Q8" s="159"/>
      <c r="R8" s="159"/>
    </row>
    <row r="9" spans="3:11" s="143" customFormat="1" ht="14.25" customHeight="1" thickBot="1">
      <c r="C9" s="165">
        <v>10</v>
      </c>
      <c r="D9" s="149" t="s">
        <v>67</v>
      </c>
      <c r="E9" s="149">
        <f>C9+2.15</f>
        <v>12.15</v>
      </c>
      <c r="F9" s="151" t="s">
        <v>11</v>
      </c>
      <c r="G9" s="145" t="s">
        <v>68</v>
      </c>
      <c r="H9" s="145"/>
      <c r="I9" s="145"/>
      <c r="J9" s="145"/>
      <c r="K9" s="146"/>
    </row>
    <row r="10" spans="3:11" s="143" customFormat="1" ht="14.25" customHeight="1" thickBot="1">
      <c r="C10" s="145" t="s">
        <v>12</v>
      </c>
      <c r="D10" s="145"/>
      <c r="E10" s="145"/>
      <c r="F10" s="145"/>
      <c r="G10" s="166">
        <f>I10-(20*LOG10(300/F/PI())-10*LOG10(4*75)-90-2.15)</f>
        <v>198.22239754060308</v>
      </c>
      <c r="H10" s="167" t="s">
        <v>69</v>
      </c>
      <c r="I10" s="149">
        <f>I6+E7+E9</f>
        <v>66.92121254719663</v>
      </c>
      <c r="J10" s="151" t="s">
        <v>9</v>
      </c>
      <c r="K10" s="146"/>
    </row>
    <row r="11" spans="3:10" s="143" customFormat="1" ht="14.25" customHeight="1" thickBot="1">
      <c r="C11" s="168">
        <v>10</v>
      </c>
      <c r="D11" s="149" t="s">
        <v>13</v>
      </c>
      <c r="E11" s="169">
        <f>-20*LOG10(4*PI()*C11*1000/300*F)</f>
        <v>-106.42117227276906</v>
      </c>
      <c r="F11" s="151" t="s">
        <v>4</v>
      </c>
      <c r="G11" s="158"/>
      <c r="H11" s="170"/>
      <c r="I11" s="159"/>
      <c r="J11" s="159"/>
    </row>
    <row r="12" spans="3:7" s="143" customFormat="1" ht="14.25" customHeight="1" thickBot="1">
      <c r="C12" s="145" t="s">
        <v>70</v>
      </c>
      <c r="D12" s="145"/>
      <c r="E12" s="145"/>
      <c r="F12" s="145"/>
      <c r="G12" s="164"/>
    </row>
    <row r="13" spans="3:11" s="143" customFormat="1" ht="14.25" customHeight="1" thickBot="1">
      <c r="C13" s="171"/>
      <c r="D13" s="149"/>
      <c r="E13" s="172">
        <v>-10</v>
      </c>
      <c r="F13" s="151" t="s">
        <v>4</v>
      </c>
      <c r="G13" s="145" t="s">
        <v>71</v>
      </c>
      <c r="H13" s="145"/>
      <c r="I13" s="145"/>
      <c r="J13" s="145"/>
      <c r="K13" s="146"/>
    </row>
    <row r="14" spans="3:11" s="143" customFormat="1" ht="14.25" customHeight="1" thickBot="1">
      <c r="C14" s="173"/>
      <c r="D14" s="173"/>
      <c r="E14" s="173"/>
      <c r="F14" s="173"/>
      <c r="G14" s="164">
        <f>I15-(20*LOG10(300/F/PI())-10*LOG10(4*75)-90-2.15)</f>
        <v>81.80122526783403</v>
      </c>
      <c r="H14" s="143" t="s">
        <v>69</v>
      </c>
      <c r="J14" s="174"/>
      <c r="K14" s="146"/>
    </row>
    <row r="15" spans="3:11" s="143" customFormat="1" ht="14.25" customHeight="1" thickBot="1">
      <c r="C15" s="145" t="s">
        <v>14</v>
      </c>
      <c r="D15" s="145"/>
      <c r="E15" s="145"/>
      <c r="F15" s="145"/>
      <c r="G15" s="156">
        <f>I15-(10*LOG10((0.000001)^2/75*1000)-2.15)</f>
        <v>61.40065290834458</v>
      </c>
      <c r="H15" s="149" t="s">
        <v>15</v>
      </c>
      <c r="I15" s="149">
        <f>I10+E11+E13</f>
        <v>-49.499959725572424</v>
      </c>
      <c r="J15" s="151" t="s">
        <v>9</v>
      </c>
      <c r="K15" s="146"/>
    </row>
    <row r="16" spans="3:11" s="143" customFormat="1" ht="14.25" customHeight="1" thickBot="1">
      <c r="C16" s="168">
        <v>6</v>
      </c>
      <c r="D16" s="149" t="s">
        <v>67</v>
      </c>
      <c r="E16" s="149">
        <f>C16+2.15</f>
        <v>8.15</v>
      </c>
      <c r="F16" s="151" t="s">
        <v>11</v>
      </c>
      <c r="G16" s="145" t="s">
        <v>72</v>
      </c>
      <c r="H16" s="145"/>
      <c r="I16" s="145"/>
      <c r="J16" s="145"/>
      <c r="K16" s="146"/>
    </row>
    <row r="17" spans="3:11" s="143" customFormat="1" ht="14.25" customHeight="1" thickBot="1">
      <c r="C17" s="145" t="s">
        <v>5</v>
      </c>
      <c r="D17" s="145"/>
      <c r="E17" s="145"/>
      <c r="F17" s="145"/>
      <c r="G17" s="156">
        <f>I17-(10*LOG10((0.000001)^2/75*1000)-2.15)</f>
        <v>69.55065290834457</v>
      </c>
      <c r="H17" s="149" t="s">
        <v>15</v>
      </c>
      <c r="I17" s="149">
        <f>I15+E16</f>
        <v>-41.349959725572425</v>
      </c>
      <c r="J17" s="151" t="s">
        <v>9</v>
      </c>
      <c r="K17" s="146"/>
    </row>
    <row r="18" spans="3:10" s="143" customFormat="1" ht="14.25" customHeight="1" thickBot="1">
      <c r="C18" s="168">
        <v>2</v>
      </c>
      <c r="D18" s="149" t="s">
        <v>3</v>
      </c>
      <c r="E18" s="149">
        <f>-4*LOG(C18,2)</f>
        <v>-4</v>
      </c>
      <c r="F18" s="151" t="s">
        <v>4</v>
      </c>
      <c r="G18" s="158"/>
      <c r="H18" s="159"/>
      <c r="I18" s="159"/>
      <c r="J18" s="159"/>
    </row>
    <row r="19" spans="3:16" s="143" customFormat="1" ht="14.25" customHeight="1" thickBot="1">
      <c r="C19" s="145" t="s">
        <v>16</v>
      </c>
      <c r="D19" s="145"/>
      <c r="E19" s="145"/>
      <c r="F19" s="145"/>
      <c r="G19" s="164"/>
      <c r="N19" s="145" t="s">
        <v>73</v>
      </c>
      <c r="O19" s="145"/>
      <c r="P19" s="146"/>
    </row>
    <row r="20" spans="3:16" s="143" customFormat="1" ht="14.25" customHeight="1" thickBot="1">
      <c r="C20" s="168">
        <v>20</v>
      </c>
      <c r="D20" s="149" t="s">
        <v>6</v>
      </c>
      <c r="E20" s="149">
        <f>-0.3*C20</f>
        <v>-6</v>
      </c>
      <c r="F20" s="151" t="s">
        <v>4</v>
      </c>
      <c r="G20" s="145" t="s">
        <v>74</v>
      </c>
      <c r="H20" s="145"/>
      <c r="I20" s="145"/>
      <c r="J20" s="145"/>
      <c r="K20" s="146"/>
      <c r="L20" s="145" t="s">
        <v>17</v>
      </c>
      <c r="M20" s="145"/>
      <c r="N20" s="156">
        <f>10*LOG10(1.38E-23*(273+Q7)*(5617*125/126*1000)*1000)</f>
        <v>-106.32634393329823</v>
      </c>
      <c r="O20" s="151" t="s">
        <v>9</v>
      </c>
      <c r="P20" s="146"/>
    </row>
    <row r="21" spans="3:19" s="143" customFormat="1" ht="14.25" customHeight="1" thickBot="1">
      <c r="C21" s="145" t="s">
        <v>5</v>
      </c>
      <c r="D21" s="145"/>
      <c r="E21" s="145"/>
      <c r="F21" s="145"/>
      <c r="G21" s="156">
        <f>I21-(10*LOG10((0.000001)^2/75*1000)-2.15)</f>
        <v>59.55065290834458</v>
      </c>
      <c r="H21" s="149" t="s">
        <v>15</v>
      </c>
      <c r="I21" s="149">
        <f>I17+E18+E20</f>
        <v>-51.349959725572425</v>
      </c>
      <c r="J21" s="151" t="s">
        <v>9</v>
      </c>
      <c r="K21" s="146"/>
      <c r="L21" s="168">
        <v>5.5</v>
      </c>
      <c r="M21" s="151" t="s">
        <v>4</v>
      </c>
      <c r="N21" s="175" t="s">
        <v>75</v>
      </c>
      <c r="O21" s="176"/>
      <c r="P21" s="146"/>
      <c r="Q21" s="145" t="s">
        <v>76</v>
      </c>
      <c r="R21" s="145"/>
      <c r="S21" s="146"/>
    </row>
    <row r="22" spans="3:19" s="143" customFormat="1" ht="14.25" customHeight="1" thickBot="1">
      <c r="C22" s="168">
        <v>2</v>
      </c>
      <c r="D22" s="149" t="s">
        <v>3</v>
      </c>
      <c r="E22" s="149">
        <f>-4*LOG(C22,2)</f>
        <v>-4</v>
      </c>
      <c r="F22" s="151" t="s">
        <v>4</v>
      </c>
      <c r="G22" s="158"/>
      <c r="H22" s="159"/>
      <c r="I22" s="159"/>
      <c r="J22" s="159"/>
      <c r="L22" s="159"/>
      <c r="M22" s="159"/>
      <c r="N22" s="156">
        <f>N20+L21</f>
        <v>-100.82634393329823</v>
      </c>
      <c r="O22" s="151" t="s">
        <v>9</v>
      </c>
      <c r="P22" s="146"/>
      <c r="Q22" s="177">
        <v>-100</v>
      </c>
      <c r="R22" s="151" t="s">
        <v>9</v>
      </c>
      <c r="S22" s="146"/>
    </row>
    <row r="23" spans="3:18" s="143" customFormat="1" ht="14.25" customHeight="1" thickBot="1">
      <c r="C23" s="145" t="s">
        <v>16</v>
      </c>
      <c r="D23" s="145"/>
      <c r="E23" s="145"/>
      <c r="F23" s="145"/>
      <c r="G23" s="164"/>
      <c r="N23" s="178"/>
      <c r="O23" s="179"/>
      <c r="Q23" s="178"/>
      <c r="R23" s="179"/>
    </row>
    <row r="24" spans="3:18" s="143" customFormat="1" ht="14.25" customHeight="1" thickBot="1">
      <c r="C24" s="168">
        <v>3</v>
      </c>
      <c r="D24" s="149" t="s">
        <v>6</v>
      </c>
      <c r="E24" s="149">
        <f>-0.3*C24</f>
        <v>-0.8999999999999999</v>
      </c>
      <c r="F24" s="151" t="s">
        <v>4</v>
      </c>
      <c r="G24" s="145" t="s">
        <v>18</v>
      </c>
      <c r="H24" s="145"/>
      <c r="I24" s="145"/>
      <c r="J24" s="145"/>
      <c r="K24" s="146"/>
      <c r="N24" s="145" t="s">
        <v>77</v>
      </c>
      <c r="O24" s="145"/>
      <c r="P24" s="180"/>
      <c r="Q24" s="151"/>
      <c r="R24" s="146"/>
    </row>
    <row r="25" spans="3:17" s="143" customFormat="1" ht="14.25" customHeight="1" thickBot="1">
      <c r="C25" s="173"/>
      <c r="D25" s="173"/>
      <c r="E25" s="173"/>
      <c r="F25" s="173"/>
      <c r="G25" s="156">
        <f>I25-(10*LOG10((0.000001)^2/75*1000)-2.15)</f>
        <v>54.65065290834458</v>
      </c>
      <c r="H25" s="149" t="s">
        <v>15</v>
      </c>
      <c r="I25" s="149">
        <f>I21+E22+E24</f>
        <v>-56.249959725572424</v>
      </c>
      <c r="J25" s="151" t="s">
        <v>9</v>
      </c>
      <c r="K25" s="146"/>
      <c r="N25" s="156">
        <f>10*LOG10(10^(N22/10)+10^(Q22/10))</f>
        <v>-97.38324774751288</v>
      </c>
      <c r="O25" s="151" t="s">
        <v>9</v>
      </c>
      <c r="P25" s="179"/>
      <c r="Q25" s="159"/>
    </row>
    <row r="26" spans="7:15" s="143" customFormat="1" ht="14.25" customHeight="1" thickBot="1">
      <c r="G26" s="159"/>
      <c r="H26" s="159"/>
      <c r="I26" s="179"/>
      <c r="J26" s="159"/>
      <c r="N26" s="178"/>
      <c r="O26" s="179"/>
    </row>
    <row r="27" spans="9:15" s="143" customFormat="1" ht="14.25" customHeight="1" thickBot="1">
      <c r="I27" s="180"/>
      <c r="J27" s="151"/>
      <c r="K27" s="145" t="s">
        <v>78</v>
      </c>
      <c r="L27" s="145"/>
      <c r="M27" s="145"/>
      <c r="N27" s="181"/>
      <c r="O27" s="146"/>
    </row>
    <row r="28" spans="9:14" s="143" customFormat="1" ht="14.25" customHeight="1" thickBot="1">
      <c r="I28" s="159"/>
      <c r="J28" s="159"/>
      <c r="K28" s="156"/>
      <c r="L28" s="149">
        <f>I25-N25</f>
        <v>41.13328802194046</v>
      </c>
      <c r="M28" s="151" t="s">
        <v>4</v>
      </c>
      <c r="N28" s="179" t="s">
        <v>79</v>
      </c>
    </row>
    <row r="29" spans="11:13" s="143" customFormat="1" ht="14.25" customHeight="1">
      <c r="K29" s="159"/>
      <c r="L29" s="159"/>
      <c r="M29" s="159"/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</sheetData>
  <sheetProtection password="DF1A" sheet="1" objects="1" scenarios="1"/>
  <mergeCells count="22">
    <mergeCell ref="C23:F23"/>
    <mergeCell ref="G24:J24"/>
    <mergeCell ref="N24:O24"/>
    <mergeCell ref="K27:M27"/>
    <mergeCell ref="C19:F19"/>
    <mergeCell ref="N19:O19"/>
    <mergeCell ref="G20:J20"/>
    <mergeCell ref="L20:M20"/>
    <mergeCell ref="C21:F21"/>
    <mergeCell ref="Q21:R21"/>
    <mergeCell ref="C10:F10"/>
    <mergeCell ref="C12:F12"/>
    <mergeCell ref="G13:J13"/>
    <mergeCell ref="C15:F15"/>
    <mergeCell ref="G16:J16"/>
    <mergeCell ref="C17:F17"/>
    <mergeCell ref="C2:Q2"/>
    <mergeCell ref="G5:J5"/>
    <mergeCell ref="O5:R5"/>
    <mergeCell ref="C6:F6"/>
    <mergeCell ref="C8:F8"/>
    <mergeCell ref="G9:J9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2011-11-28T11:52:47Z</dcterms:modified>
  <cp:category/>
  <cp:version/>
  <cp:contentType/>
  <cp:contentStatus/>
</cp:coreProperties>
</file>